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175" tabRatio="897" activeTab="2"/>
  </bookViews>
  <sheets>
    <sheet name="Лист3 (2)" sheetId="1" r:id="rId1"/>
    <sheet name="смета (2)" sheetId="2" r:id="rId2"/>
    <sheet name="расчеты м 2019" sheetId="3" r:id="rId3"/>
    <sheet name="расчеты м 2020" sheetId="4" r:id="rId4"/>
    <sheet name="расчеты м 2021" sheetId="5" r:id="rId5"/>
    <sheet name="расч об 2019" sheetId="6" r:id="rId6"/>
    <sheet name="расч об 2020" sheetId="7" r:id="rId7"/>
    <sheet name="расч об 2021" sheetId="8" r:id="rId8"/>
    <sheet name="кредиторка" sheetId="9" r:id="rId9"/>
    <sheet name="фин грам 2019-2021" sheetId="10" r:id="rId10"/>
  </sheets>
  <externalReferences>
    <externalReference r:id="rId13"/>
  </externalReferences>
  <definedNames>
    <definedName name="_xlnm.Print_Titles" localSheetId="1">'смета (2)'!$27:$29</definedName>
    <definedName name="_xlnm.Print_Area" localSheetId="8">'кредиторка'!$A$1:$G$27</definedName>
    <definedName name="_xlnm.Print_Area" localSheetId="5">'расч об 2019'!$A$1:$G$57</definedName>
    <definedName name="_xlnm.Print_Area" localSheetId="6">'расч об 2020'!$A$1:$G$57</definedName>
    <definedName name="_xlnm.Print_Area" localSheetId="7">'расч об 2021'!$A$1:$G$57</definedName>
    <definedName name="_xlnm.Print_Area" localSheetId="2">'расчеты м 2019'!$A$1:$G$146</definedName>
    <definedName name="_xlnm.Print_Area" localSheetId="3">'расчеты м 2020'!$A$1:$G$125</definedName>
    <definedName name="_xlnm.Print_Area" localSheetId="4">'расчеты м 2021'!$A$1:$G$125</definedName>
    <definedName name="_xlnm.Print_Area" localSheetId="1">'смета (2)'!$A$1:$L$120</definedName>
    <definedName name="_xlnm.Print_Area" localSheetId="9">'фин грам 2019-2021'!$A$1:$G$42</definedName>
  </definedNames>
  <calcPr fullCalcOnLoad="1"/>
</workbook>
</file>

<file path=xl/sharedStrings.xml><?xml version="1.0" encoding="utf-8"?>
<sst xmlns="http://schemas.openxmlformats.org/spreadsheetml/2006/main" count="1068" uniqueCount="304">
  <si>
    <t>сумма</t>
  </si>
  <si>
    <t>А. А. Сердюкова</t>
  </si>
  <si>
    <t>ИТОГО</t>
  </si>
  <si>
    <t>налог на имущество</t>
  </si>
  <si>
    <t>Утверждаю</t>
  </si>
  <si>
    <t>"__" _________ 201   г.</t>
  </si>
  <si>
    <t>коды</t>
  </si>
  <si>
    <t>форма по ОКУД</t>
  </si>
  <si>
    <t>Дата</t>
  </si>
  <si>
    <t>по ОКПО</t>
  </si>
  <si>
    <t>Получатель бюджетных средств:</t>
  </si>
  <si>
    <t>по Перечню (Реестру)</t>
  </si>
  <si>
    <t>Распорядитель бюджетных средств</t>
  </si>
  <si>
    <t>Главный распорядитель бюджетных средств:</t>
  </si>
  <si>
    <t>по БК</t>
  </si>
  <si>
    <t>Наименование бюджета:</t>
  </si>
  <si>
    <t>по ОКАТО</t>
  </si>
  <si>
    <t>Единица измерения:</t>
  </si>
  <si>
    <t>руб.</t>
  </si>
  <si>
    <t>по ОКЕИ</t>
  </si>
  <si>
    <t>по ОКВ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</si>
  <si>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</si>
  <si>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</si>
  <si>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</si>
  <si>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</si>
  <si>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</si>
  <si>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</si>
  <si>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</si>
  <si>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</si>
  <si>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</si>
  <si>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в рублях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</si>
  <si>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</si>
  <si>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</si>
  <si>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</si>
  <si>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</si>
  <si>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</si>
  <si>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</si>
  <si>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</si>
  <si>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</si>
  <si>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</si>
  <si>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</si>
  <si>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001</t>
  </si>
  <si>
    <t>оплата услуг отопления</t>
  </si>
  <si>
    <t>002</t>
  </si>
  <si>
    <t>электроэнергия</t>
  </si>
  <si>
    <t>003</t>
  </si>
  <si>
    <t>водоснабжение</t>
  </si>
  <si>
    <t>004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</si>
  <si>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</si>
  <si>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</si>
  <si>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</si>
  <si>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</si>
  <si>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</si>
  <si>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</si>
  <si>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</si>
  <si>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</t>
  </si>
  <si>
    <t>И. Н. Нароженко</t>
  </si>
  <si>
    <t>тел. 8-84453-7-12-97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</si>
  <si>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</si>
  <si>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</si>
  <si>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</si>
  <si>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</si>
  <si>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</si>
  <si>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</si>
  <si>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</si>
  <si>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</si>
  <si>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</si>
  <si>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</si>
  <si>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</si>
  <si>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методлитература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</si>
  <si>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</si>
  <si>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</si>
  <si>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</si>
  <si>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</si>
  <si>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</si>
  <si>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</si>
  <si>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</si>
  <si>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</si>
  <si>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</si>
  <si>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</si>
  <si>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</si>
  <si>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6. Расчет расходов по подстатье 225 "услуги по содержанию имущества"</t>
  </si>
  <si>
    <t>итого</t>
  </si>
  <si>
    <t>8. Расчет расходов по подстатье 290 "Прочие расходы"</t>
  </si>
  <si>
    <t>налог на землю</t>
  </si>
  <si>
    <t>Директор -главный бухгалтер</t>
  </si>
  <si>
    <t>Гл.экономист</t>
  </si>
  <si>
    <t>Подача абоненту через присоединенную сеть из централизованных систем холодного водоснабжения</t>
  </si>
  <si>
    <t>__________________ М. Н. Битюцкий</t>
  </si>
  <si>
    <t>Администрация Руднянского муниципального района</t>
  </si>
  <si>
    <t>Директор-главный бухгалтер МКУ МЦБ</t>
  </si>
  <si>
    <t>Исполнитель: гл.экономист МКУ МЦБ</t>
  </si>
  <si>
    <t>I год планового периода</t>
  </si>
  <si>
    <t>II год планового периода</t>
  </si>
  <si>
    <t>9. Расчет расходов по подстатье 310 "Увеличение стоимости основных средств"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</si>
  <si>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</si>
  <si>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445</t>
  </si>
  <si>
    <t>Обеспечение деятельности казенных учреждений дошкольного образования за счет средств местного бюджета</t>
  </si>
  <si>
    <t>Субвенция из областного бюджета на осуществление образовательго процесса муниципальными дошкольными образовательными организациями</t>
  </si>
  <si>
    <t>Уплата налогов и сборов органами государственной власти и казенными учреждениями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</si>
  <si>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</si>
  <si>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</si>
  <si>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</si>
  <si>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прочие налоги</t>
  </si>
  <si>
    <t>Согласовано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</si>
  <si>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</si>
  <si>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</si>
  <si>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</si>
  <si>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</si>
  <si>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</si>
  <si>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</si>
  <si>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</si>
  <si>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</si>
  <si>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</si>
  <si>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</si>
  <si>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</si>
  <si>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</si>
  <si>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кол-во месяцев</t>
  </si>
  <si>
    <t>7. Расчет расходов по подстатье 226 "Прочие работы, услуги"</t>
  </si>
  <si>
    <t>2. Расчет расходов по подстатье 310 "Увеличение стоимости основных средств"</t>
  </si>
  <si>
    <t>Сумма расходов в квартал (рублей)</t>
  </si>
  <si>
    <t>Дошкольное образование</t>
  </si>
  <si>
    <t>Глава Руднянского муниципального района</t>
  </si>
  <si>
    <t>Продление домена официального сайта учреждения</t>
  </si>
  <si>
    <t xml:space="preserve">МКДОУ Руднянский детский сад "Огонек" </t>
  </si>
  <si>
    <t>Подача поставщиком присоеденённую сеть тепловой энергии в горячей воде абоненту</t>
  </si>
  <si>
    <t>услуги по вывозу твердых бытовых отходов</t>
  </si>
  <si>
    <t>защита жизни и здоровья граждан и персонала (охрана)</t>
  </si>
  <si>
    <t>УТВЕРЖДАЮ</t>
  </si>
  <si>
    <t>1. Расчет расходов по подстатье 226 "Прочие работы, услуги"</t>
  </si>
  <si>
    <t>стоимость за 1 час с учетом НДФЛ и отчислений</t>
  </si>
  <si>
    <t>количество часов</t>
  </si>
  <si>
    <t>Проведение занятий по обучению финансовой грамотности</t>
  </si>
  <si>
    <t>Расходы областного бюджета на решение вопросов местного значения в сфере дополнительного образования(финансовая грамотность)</t>
  </si>
  <si>
    <t>Субвенция из областного бюджета на осуществление образовательго процесса муниципальными дошкольными образовательными организациями (оплата труда педагогического персонала)</t>
  </si>
  <si>
    <t>Субвенция из областного бюджета на осуществление образовательго процесса муниципальными дошкольными образовательными организациями (учебные расходы)</t>
  </si>
  <si>
    <t>педагогические работники</t>
  </si>
  <si>
    <t>прочий персонал</t>
  </si>
  <si>
    <t>Приобретение игр, игрушек, учебных пособий</t>
  </si>
  <si>
    <t>Субвенция из областного бюджета на осуществление образовательго процесса муниципальными дошкольными образовательными организациями (оплата труда прочего персонала)</t>
  </si>
  <si>
    <t>командировочные расходы</t>
  </si>
  <si>
    <t>суточные</t>
  </si>
  <si>
    <t>заправка картриджей</t>
  </si>
  <si>
    <t>медицинский осмотр работников</t>
  </si>
  <si>
    <t>приобретение детской мебели</t>
  </si>
  <si>
    <t>Кредиторская задолженность</t>
  </si>
  <si>
    <t>приобретение Флага Победы</t>
  </si>
  <si>
    <t>приобретение водонагревателя</t>
  </si>
  <si>
    <t>Первый заместитель Главы Руднянского муниципального района - начальник отдела образования, опеки и попечительства, физической культуры и спорта</t>
  </si>
  <si>
    <t>___________________ Ю. В. Калинин</t>
  </si>
  <si>
    <t>вытяжная система</t>
  </si>
  <si>
    <t>1. Расчет расходов по подстатье 223 "Коммунальные услуги"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</si>
  <si>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 (кредиторская задолженность)</t>
  </si>
  <si>
    <t xml:space="preserve">Сумма расходов </t>
  </si>
  <si>
    <t>обучение сотрудников</t>
  </si>
  <si>
    <t>приобретение продуктов питания, в т.ч.</t>
  </si>
  <si>
    <t>за счет средств родительской платы, в т.ч.</t>
  </si>
  <si>
    <t>за детей в возрасте от 0 до 3 лет (не льготники)</t>
  </si>
  <si>
    <t>за детей в возрасте от 0 до 3 лет (льготники)</t>
  </si>
  <si>
    <t>за детей в возрасте от 3 до 7 лет (не льготники)</t>
  </si>
  <si>
    <t>за детей в возрасте от 3 до 7 лет (льготники)</t>
  </si>
  <si>
    <t>за счет средств районного бюджета</t>
  </si>
  <si>
    <t>приобретение канцелярских товаров, в т.ч.</t>
  </si>
  <si>
    <t>бумага офисная (18 пач х 300 руб*104.7)</t>
  </si>
  <si>
    <t>тонер</t>
  </si>
  <si>
    <t>скобы к степлеру, скрепки</t>
  </si>
  <si>
    <t>клей</t>
  </si>
  <si>
    <t>папки, файлы, скоросшиватели</t>
  </si>
  <si>
    <t>стикеры, блоки для заметок, маркеры</t>
  </si>
  <si>
    <t>услуги охраны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</si>
  <si>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</t>
  </si>
  <si>
    <t>*</t>
  </si>
  <si>
    <t>подмены пед работники</t>
  </si>
  <si>
    <t>прочие работники</t>
  </si>
  <si>
    <t>по тарификации 260354.81*12 мес</t>
  </si>
  <si>
    <t>Обустройство мест пребывания инвалидов и других маломобильных групп населения</t>
  </si>
  <si>
    <t>Обеспечение деятельности учреждений дошкольного образования</t>
  </si>
  <si>
    <t>0110170220</t>
  </si>
  <si>
    <t>0110180010</t>
  </si>
  <si>
    <t>0110180080</t>
  </si>
  <si>
    <t>Муниципальная программа "Развитие образования в Руднянском муниципальном районе" на 2018-2020 годы"</t>
  </si>
  <si>
    <t>0100000000</t>
  </si>
  <si>
    <t>Подпрограмма "Развитие дошкольного, общего образования и дополнительного образования"</t>
  </si>
  <si>
    <t>0110100000</t>
  </si>
  <si>
    <t>0110100040</t>
  </si>
  <si>
    <t>0110170352</t>
  </si>
  <si>
    <t>0110170350</t>
  </si>
  <si>
    <t>0110170351</t>
  </si>
  <si>
    <t>0110170353</t>
  </si>
  <si>
    <t>Муниципальная программа "Социальная поддержка и защита населения Руднянского муниципального района"</t>
  </si>
  <si>
    <t>0400000000</t>
  </si>
  <si>
    <t>Подпрограмма "Формирование доступной для инвалидов и других маломобильных групп населения среды жизнедеятельности Руднянского муниципального района"</t>
  </si>
  <si>
    <t>0430000000</t>
  </si>
  <si>
    <t>0430100000</t>
  </si>
  <si>
    <t>0430100040</t>
  </si>
  <si>
    <t>БЮДЖЕТНАЯ СМЕТА НА 2018 ГОД</t>
  </si>
  <si>
    <t>к бюджетной смете расходов на 2019 год</t>
  </si>
  <si>
    <t>к бюджетной смете расходов на 2020 год</t>
  </si>
  <si>
    <t xml:space="preserve">Всего по смете </t>
  </si>
  <si>
    <t>централизованная охрана птем приема и регистрации сообщений</t>
  </si>
  <si>
    <t xml:space="preserve"> по тарификации (янв-апр) 72607.31*4 мес</t>
  </si>
  <si>
    <t xml:space="preserve"> по тарификации (май-декаб) 82651.31 * 8 мес</t>
  </si>
  <si>
    <t>от 29 марта 2018  года</t>
  </si>
  <si>
    <t>Образование</t>
  </si>
  <si>
    <t>440</t>
  </si>
  <si>
    <t>Расходы на питание за счет родительской платы по учреждениям дошкольного образования</t>
  </si>
  <si>
    <t>0110100045</t>
  </si>
  <si>
    <t>Исполнение судебных актов</t>
  </si>
  <si>
    <t>0110190010</t>
  </si>
  <si>
    <t>Иные расходы</t>
  </si>
  <si>
    <t>Муниципальная программа"Обеспечение безопасности жизнедеятельности на территории Руднянского муниципального района"</t>
  </si>
  <si>
    <t>0500000000</t>
  </si>
  <si>
    <t>Подпрограмма "Пожарная безопасность Руднянского муниципального района"</t>
  </si>
  <si>
    <t>0510000000</t>
  </si>
  <si>
    <t>Обеспечение пожарной безопасности учреждений дошкольного образования</t>
  </si>
  <si>
    <t>0510100000</t>
  </si>
  <si>
    <t>Мероприятия связанные с пожарной безопасностью</t>
  </si>
  <si>
    <t>0510123010</t>
  </si>
  <si>
    <t>0110000000</t>
  </si>
  <si>
    <t>Содействие развитию дошкольного образования</t>
  </si>
  <si>
    <t>Расходы областного бюджета на решение вопросов местного значения в сфере дополнительного образования (финансовая грамотность)</t>
  </si>
  <si>
    <t>0110171170</t>
  </si>
  <si>
    <t>Дополнительное образование</t>
  </si>
  <si>
    <t>по тарификации 84023.73*9.4 мес</t>
  </si>
  <si>
    <t>дератизация</t>
  </si>
  <si>
    <t>продление домена  официального сайта</t>
  </si>
  <si>
    <t>8. Расчет расходов по подстатье 291 "Налоги, пошлины и сборы"</t>
  </si>
  <si>
    <t>9. Расчет расходов по подстатье 292 "Штрафы за нарушение законодательства о налогах и сборах, законодательства о страховых взносах"</t>
  </si>
  <si>
    <t>пени за несвоевременную уплату налогов, сборов, страховых взносов</t>
  </si>
  <si>
    <t>10. Расчет расходов по подстатье 310 "Увеличение стоимости основных средств"</t>
  </si>
  <si>
    <t>11. Расчет расходов по подстатье 342 "Увеличение стоимости продуктов питания"</t>
  </si>
  <si>
    <t>за счет остатков на 01.01.2019 г</t>
  </si>
  <si>
    <t>приобретение хозяйственных товаров и моющих средств</t>
  </si>
  <si>
    <t>12. Расчет расходов по подстатье 346 "Увеличение стоимости прочих оборотных запасов(материалов)"</t>
  </si>
  <si>
    <t>13. Расчет расходов по подстатье 353 "Увеличение стоимости неисключительных прав на результаты интеллектуальной деятельности с определенным сроком полезного использования"</t>
  </si>
  <si>
    <t>Всего по смете на 2019 год</t>
  </si>
  <si>
    <t>И. о. заведующего МКДОУ Руднянский детский сад "Огонек"</t>
  </si>
  <si>
    <t>_____________ Н. П. Квитко</t>
  </si>
  <si>
    <t xml:space="preserve">по тарификации 85181.73 руб * 12 мес </t>
  </si>
  <si>
    <t>10. Расчет расходов по подстатье 342 "Увеличение стоимости продуктов питания"</t>
  </si>
  <si>
    <t>Всего по смете на 2020 год</t>
  </si>
  <si>
    <t>к бюджетной смете расходов на 2021 год</t>
  </si>
  <si>
    <t xml:space="preserve">по тарификации 86225.73 руб * 12 мес </t>
  </si>
  <si>
    <t>Всего по смете на 2021 год</t>
  </si>
  <si>
    <t>пособие по уходу за ребенком до 3-х лет(пед персонал)</t>
  </si>
  <si>
    <t>4. Расчет расходов по подстатье 346 "Увеличение стоимости прочих оборотных запасов(материалов)"</t>
  </si>
  <si>
    <t>к бюджетной смете расходов на 2019, 2020, 2021 год</t>
  </si>
  <si>
    <t>в том числе</t>
  </si>
  <si>
    <t>с 01.01.2019 по 31.05.2019</t>
  </si>
  <si>
    <t>с 01.09.2019 по 31.12.2019</t>
  </si>
  <si>
    <t>приобретение учебной литературы</t>
  </si>
  <si>
    <t>3. Расчет расходов по подстатье 346 "Увеличение стоимости прочих оборотных запасов(материалов)"</t>
  </si>
  <si>
    <t>приобретение канцелярских товаров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</si>
  <si>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</si>
  <si>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</si>
  <si>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</si>
  <si>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</si>
  <si>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М Н. Битюцкий</t>
  </si>
  <si>
    <t>подпись</t>
  </si>
  <si>
    <t>(расшифровка подписи)</t>
  </si>
  <si>
    <t>"      "</t>
  </si>
  <si>
    <t xml:space="preserve">    20     г.</t>
  </si>
  <si>
    <t>БЮДЖЕТНАЯ СМЕТА НА 2019 ФИНАНСОВЫЙ ГОД</t>
  </si>
  <si>
    <t>Коды</t>
  </si>
  <si>
    <t>(НА 2019 ФИНАНСОВЫЙ ГОД И ПЛАНОВЫЙ ПЕРИОД 2020 И 2021 ГОДОВ)</t>
  </si>
  <si>
    <t xml:space="preserve">            Форма по ОКУД</t>
  </si>
  <si>
    <t>от   "      "                             20     г.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</si>
  <si>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</si>
  <si>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</si>
  <si>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</si>
  <si>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</si>
  <si>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</si>
  <si>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</si>
  <si>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</si>
  <si>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</si>
  <si>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</si>
  <si>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</si>
  <si>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</si>
  <si>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</si>
  <si>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 xml:space="preserve">на 2019 год (на текущий финансовый год) </t>
  </si>
  <si>
    <t xml:space="preserve">на 2020 год (на первый год планового периода) </t>
  </si>
  <si>
    <t xml:space="preserve">на 2021 год (на второй год планового периода) 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</si>
  <si>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</si>
  <si>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</si>
  <si>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</si>
  <si>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</si>
  <si>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</si>
  <si>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</si>
  <si>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</si>
  <si>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права 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</si>
  <si>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</si>
  <si>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продуктов питания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</si>
  <si>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</si>
  <si>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</si>
  <si>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Оплата кредиторской задолженности</t>
  </si>
  <si>
    <t>Дополнительное образование детей</t>
  </si>
  <si>
    <t>Руководитель учреждения</t>
  </si>
  <si>
    <t>(уполномоченное лицо)</t>
  </si>
  <si>
    <t>директор-гл.бухгалтер МКУ МЦБ</t>
  </si>
  <si>
    <t>должность</t>
  </si>
  <si>
    <t>фамилия инициалы</t>
  </si>
  <si>
    <t>Исполнитель</t>
  </si>
  <si>
    <t>гл.экономист МКУ МЦБ</t>
  </si>
  <si>
    <t>МКДОУ Руднянский детский сад "Огонек"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</si>
</sst>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i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6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7" fillId="0" borderId="0" xfId="54" applyFont="1">
      <alignment/>
      <protection/>
    </xf>
    <xf numFmtId="0" fontId="6" fillId="0" borderId="10" xfId="54" applyFont="1" applyBorder="1" applyAlignment="1">
      <alignment horizontal="center" wrapText="1"/>
      <protection/>
    </xf>
    <xf numFmtId="0" fontId="6" fillId="0" borderId="10" xfId="54" applyFont="1" applyBorder="1">
      <alignment/>
      <protection/>
    </xf>
    <xf numFmtId="0" fontId="4" fillId="0" borderId="0" xfId="54" applyFont="1" applyAlignme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6" fillId="0" borderId="11" xfId="54" applyFont="1" applyBorder="1" applyAlignment="1">
      <alignment horizontal="center" wrapText="1"/>
      <protection/>
    </xf>
    <xf numFmtId="0" fontId="3" fillId="0" borderId="0" xfId="54" applyFont="1">
      <alignment/>
      <protection/>
    </xf>
    <xf numFmtId="0" fontId="3" fillId="0" borderId="10" xfId="55" applyFont="1" applyBorder="1" applyAlignment="1">
      <alignment horizontal="center" wrapText="1"/>
      <protection/>
    </xf>
    <xf numFmtId="3" fontId="6" fillId="0" borderId="10" xfId="54" applyNumberFormat="1" applyFont="1" applyBorder="1">
      <alignment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10" xfId="54" applyFont="1" applyBorder="1" applyAlignment="1">
      <alignment wrapText="1"/>
      <protection/>
    </xf>
    <xf numFmtId="0" fontId="13" fillId="0" borderId="11" xfId="54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8" fillId="0" borderId="10" xfId="54" applyNumberFormat="1" applyFont="1" applyBorder="1" applyAlignment="1">
      <alignment horizontal="center" wrapText="1"/>
      <protection/>
    </xf>
    <xf numFmtId="0" fontId="8" fillId="0" borderId="10" xfId="54" applyFont="1" applyBorder="1" applyAlignment="1">
      <alignment horizontal="center" wrapText="1"/>
      <protection/>
    </xf>
    <xf numFmtId="0" fontId="8" fillId="0" borderId="10" xfId="54" applyFont="1" applyFill="1" applyBorder="1" applyAlignment="1">
      <alignment wrapText="1"/>
      <protection/>
    </xf>
    <xf numFmtId="0" fontId="9" fillId="0" borderId="0" xfId="54" applyFont="1" applyAlignment="1">
      <alignment wrapText="1"/>
      <protection/>
    </xf>
    <xf numFmtId="0" fontId="9" fillId="0" borderId="0" xfId="54" applyFont="1">
      <alignment/>
      <protection/>
    </xf>
    <xf numFmtId="0" fontId="3" fillId="0" borderId="0" xfId="55" applyFont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1" xfId="55" applyFont="1" applyBorder="1" applyAlignment="1">
      <alignment horizontal="left"/>
      <protection/>
    </xf>
    <xf numFmtId="186" fontId="14" fillId="0" borderId="10" xfId="54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0" fontId="14" fillId="0" borderId="10" xfId="54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center" wrapText="1"/>
      <protection/>
    </xf>
    <xf numFmtId="0" fontId="9" fillId="0" borderId="11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left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6" fillId="0" borderId="0" xfId="54" applyFont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5" fillId="0" borderId="11" xfId="55" applyFont="1" applyBorder="1" applyAlignment="1">
      <alignment horizontal="left" wrapText="1"/>
      <protection/>
    </xf>
    <xf numFmtId="0" fontId="9" fillId="0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5" fillId="0" borderId="11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4" fillId="0" borderId="0" xfId="55" applyFont="1" applyBorder="1" applyAlignment="1">
      <alignment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2" fontId="15" fillId="0" borderId="10" xfId="0" applyNumberFormat="1" applyFont="1" applyBorder="1" applyAlignment="1">
      <alignment horizontal="center" wrapText="1"/>
    </xf>
    <xf numFmtId="0" fontId="16" fillId="0" borderId="10" xfId="55" applyFont="1" applyBorder="1" applyAlignment="1">
      <alignment horizontal="center" wrapText="1"/>
      <protection/>
    </xf>
    <xf numFmtId="0" fontId="16" fillId="0" borderId="10" xfId="55" applyFont="1" applyBorder="1" applyAlignment="1">
      <alignment horizont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10" xfId="55" applyFont="1" applyBorder="1">
      <alignment/>
      <protection/>
    </xf>
    <xf numFmtId="0" fontId="8" fillId="0" borderId="10" xfId="54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11" fillId="0" borderId="0" xfId="54" applyFont="1">
      <alignment/>
      <protection/>
    </xf>
    <xf numFmtId="4" fontId="8" fillId="0" borderId="10" xfId="54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 wrapText="1"/>
    </xf>
    <xf numFmtId="4" fontId="3" fillId="0" borderId="0" xfId="55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5" applyNumberFormat="1" applyFont="1" applyBorder="1" applyAlignment="1">
      <alignment horizontal="center" wrapText="1"/>
      <protection/>
    </xf>
    <xf numFmtId="0" fontId="8" fillId="22" borderId="10" xfId="54" applyFont="1" applyFill="1" applyBorder="1" applyAlignment="1">
      <alignment horizontal="left" wrapText="1"/>
      <protection/>
    </xf>
    <xf numFmtId="186" fontId="8" fillId="22" borderId="10" xfId="54" applyNumberFormat="1" applyFont="1" applyFill="1" applyBorder="1" applyAlignment="1">
      <alignment horizontal="center" wrapText="1"/>
      <protection/>
    </xf>
    <xf numFmtId="0" fontId="8" fillId="22" borderId="10" xfId="54" applyFont="1" applyFill="1" applyBorder="1" applyAlignment="1">
      <alignment horizontal="center"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6" fillId="22" borderId="10" xfId="54" applyFont="1" applyFill="1" applyBorder="1" applyAlignment="1">
      <alignment horizontal="center" wrapText="1"/>
      <protection/>
    </xf>
    <xf numFmtId="0" fontId="6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wrapText="1"/>
      <protection/>
    </xf>
    <xf numFmtId="3" fontId="8" fillId="22" borderId="10" xfId="54" applyNumberFormat="1" applyFont="1" applyFill="1" applyBorder="1" applyAlignment="1">
      <alignment wrapText="1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4" fontId="8" fillId="22" borderId="10" xfId="54" applyNumberFormat="1" applyFont="1" applyFill="1" applyBorder="1" applyAlignment="1">
      <alignment horizontal="center" wrapText="1"/>
      <protection/>
    </xf>
    <xf numFmtId="3" fontId="3" fillId="0" borderId="0" xfId="54" applyNumberFormat="1" applyFont="1">
      <alignment/>
      <protection/>
    </xf>
    <xf numFmtId="0" fontId="17" fillId="0" borderId="10" xfId="54" applyFont="1" applyFill="1" applyBorder="1" applyAlignment="1">
      <alignment wrapText="1"/>
      <protection/>
    </xf>
    <xf numFmtId="4" fontId="6" fillId="0" borderId="0" xfId="54" applyNumberFormat="1" applyFont="1">
      <alignment/>
      <protection/>
    </xf>
    <xf numFmtId="188" fontId="6" fillId="0" borderId="0" xfId="54" applyNumberFormat="1" applyFont="1">
      <alignment/>
      <protection/>
    </xf>
    <xf numFmtId="0" fontId="9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9" fillId="0" borderId="0" xfId="55" applyFont="1">
      <alignment/>
      <protection/>
    </xf>
    <xf numFmtId="2" fontId="16" fillId="0" borderId="10" xfId="55" applyNumberFormat="1" applyFont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8" fillId="0" borderId="10" xfId="55" applyFont="1" applyBorder="1" applyAlignment="1">
      <alignment horizontal="center"/>
      <protection/>
    </xf>
    <xf numFmtId="4" fontId="18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20" fillId="0" borderId="11" xfId="55" applyFont="1" applyBorder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wrapText="1"/>
      <protection/>
    </xf>
    <xf numFmtId="0" fontId="11" fillId="0" borderId="11" xfId="55" applyFont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4" fontId="11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 applyAlignment="1">
      <alignment wrapText="1"/>
      <protection/>
    </xf>
    <xf numFmtId="0" fontId="21" fillId="0" borderId="11" xfId="55" applyFont="1" applyBorder="1" applyAlignment="1">
      <alignment horizontal="left" wrapText="1"/>
      <protection/>
    </xf>
    <xf numFmtId="4" fontId="5" fillId="0" borderId="10" xfId="55" applyNumberFormat="1" applyFont="1" applyBorder="1" applyAlignment="1">
      <alignment horizontal="center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186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3" fontId="8" fillId="0" borderId="10" xfId="54" applyNumberFormat="1" applyFont="1" applyFill="1" applyBorder="1" applyAlignment="1">
      <alignment wrapText="1"/>
      <protection/>
    </xf>
    <xf numFmtId="0" fontId="3" fillId="0" borderId="0" xfId="54" applyFont="1" applyFill="1" applyAlignment="1">
      <alignment wrapText="1"/>
      <protection/>
    </xf>
    <xf numFmtId="0" fontId="3" fillId="0" borderId="0" xfId="54" applyFont="1" applyFill="1">
      <alignment/>
      <protection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Fill="1" applyBorder="1" applyAlignment="1">
      <alignment horizontal="center" wrapText="1"/>
      <protection/>
    </xf>
    <xf numFmtId="4" fontId="8" fillId="0" borderId="10" xfId="54" applyNumberFormat="1" applyFont="1" applyFill="1" applyBorder="1" applyAlignment="1">
      <alignment horizontal="center" wrapText="1"/>
      <protection/>
    </xf>
    <xf numFmtId="0" fontId="11" fillId="0" borderId="0" xfId="54" applyFont="1" applyFill="1" applyAlignment="1">
      <alignment wrapText="1"/>
      <protection/>
    </xf>
    <xf numFmtId="0" fontId="11" fillId="0" borderId="0" xfId="54" applyFont="1" applyFill="1">
      <alignment/>
      <protection/>
    </xf>
    <xf numFmtId="186" fontId="14" fillId="0" borderId="10" xfId="54" applyNumberFormat="1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 applyAlignment="1">
      <alignment horizontal="center" wrapText="1"/>
      <protection/>
    </xf>
    <xf numFmtId="4" fontId="14" fillId="0" borderId="10" xfId="54" applyNumberFormat="1" applyFont="1" applyFill="1" applyBorder="1" applyAlignment="1">
      <alignment horizontal="center" wrapText="1"/>
      <protection/>
    </xf>
    <xf numFmtId="0" fontId="14" fillId="0" borderId="11" xfId="54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horizontal="center" wrapText="1"/>
      <protection/>
    </xf>
    <xf numFmtId="3" fontId="14" fillId="0" borderId="10" xfId="54" applyNumberFormat="1" applyFont="1" applyFill="1" applyBorder="1" applyAlignment="1">
      <alignment wrapText="1"/>
      <protection/>
    </xf>
    <xf numFmtId="0" fontId="9" fillId="0" borderId="0" xfId="54" applyFont="1" applyFill="1" applyAlignment="1">
      <alignment wrapText="1"/>
      <protection/>
    </xf>
    <xf numFmtId="0" fontId="9" fillId="0" borderId="0" xfId="54" applyFont="1" applyFill="1">
      <alignment/>
      <protection/>
    </xf>
    <xf numFmtId="3" fontId="6" fillId="0" borderId="10" xfId="54" applyNumberFormat="1" applyFont="1" applyFill="1" applyBorder="1" applyAlignment="1">
      <alignment wrapText="1"/>
      <protection/>
    </xf>
    <xf numFmtId="3" fontId="6" fillId="0" borderId="11" xfId="54" applyNumberFormat="1" applyFont="1" applyFill="1" applyBorder="1" applyAlignment="1">
      <alignment wrapText="1"/>
      <protection/>
    </xf>
    <xf numFmtId="3" fontId="6" fillId="0" borderId="10" xfId="54" applyNumberFormat="1" applyFont="1" applyFill="1" applyBorder="1">
      <alignment/>
      <protection/>
    </xf>
    <xf numFmtId="3" fontId="6" fillId="0" borderId="11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6" fillId="0" borderId="10" xfId="54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3" fontId="14" fillId="0" borderId="10" xfId="54" applyNumberFormat="1" applyFont="1" applyFill="1" applyBorder="1">
      <alignment/>
      <protection/>
    </xf>
    <xf numFmtId="3" fontId="14" fillId="0" borderId="11" xfId="54" applyNumberFormat="1" applyFont="1" applyFill="1" applyBorder="1">
      <alignment/>
      <protection/>
    </xf>
    <xf numFmtId="3" fontId="8" fillId="0" borderId="11" xfId="54" applyNumberFormat="1" applyFont="1" applyFill="1" applyBorder="1">
      <alignment/>
      <protection/>
    </xf>
    <xf numFmtId="186" fontId="17" fillId="0" borderId="10" xfId="54" applyNumberFormat="1" applyFont="1" applyFill="1" applyBorder="1" applyAlignment="1">
      <alignment horizontal="center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3" fontId="17" fillId="0" borderId="10" xfId="54" applyNumberFormat="1" applyFont="1" applyFill="1" applyBorder="1">
      <alignment/>
      <protection/>
    </xf>
    <xf numFmtId="0" fontId="17" fillId="0" borderId="10" xfId="54" applyFont="1" applyFill="1" applyBorder="1" applyAlignment="1">
      <alignment horizontal="center" wrapText="1"/>
      <protection/>
    </xf>
    <xf numFmtId="3" fontId="17" fillId="0" borderId="10" xfId="54" applyNumberFormat="1" applyFont="1" applyFill="1" applyBorder="1" applyAlignment="1">
      <alignment wrapText="1"/>
      <protection/>
    </xf>
    <xf numFmtId="191" fontId="6" fillId="0" borderId="10" xfId="54" applyNumberFormat="1" applyFont="1" applyFill="1" applyBorder="1">
      <alignment/>
      <protection/>
    </xf>
    <xf numFmtId="0" fontId="6" fillId="0" borderId="10" xfId="54" applyFont="1" applyBorder="1" applyAlignment="1">
      <alignment horizontal="center" vertical="center"/>
      <protection/>
    </xf>
    <xf numFmtId="4" fontId="10" fillId="0" borderId="10" xfId="55" applyNumberFormat="1" applyFont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4" fontId="9" fillId="0" borderId="10" xfId="55" applyNumberFormat="1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4" fontId="16" fillId="0" borderId="10" xfId="55" applyNumberFormat="1" applyFont="1" applyBorder="1" applyAlignment="1">
      <alignment horizontal="center"/>
      <protection/>
    </xf>
    <xf numFmtId="4" fontId="18" fillId="0" borderId="10" xfId="55" applyNumberFormat="1" applyFont="1" applyBorder="1" applyAlignment="1">
      <alignment horizontal="center"/>
      <protection/>
    </xf>
    <xf numFmtId="0" fontId="4" fillId="0" borderId="0" xfId="0" applyFont="1" applyAlignment="1">
      <alignment vertical="center" wrapText="1"/>
    </xf>
    <xf numFmtId="0" fontId="9" fillId="0" borderId="0" xfId="54" applyFont="1" applyAlignment="1">
      <alignment horizontal="left" wrapText="1"/>
      <protection/>
    </xf>
    <xf numFmtId="0" fontId="9" fillId="0" borderId="0" xfId="54" applyFont="1" applyAlignment="1">
      <alignment horizontal="left"/>
      <protection/>
    </xf>
    <xf numFmtId="3" fontId="4" fillId="0" borderId="0" xfId="54" applyNumberFormat="1" applyFont="1">
      <alignment/>
      <protection/>
    </xf>
    <xf numFmtId="4" fontId="4" fillId="0" borderId="0" xfId="54" applyNumberFormat="1" applyFont="1">
      <alignment/>
      <protection/>
    </xf>
    <xf numFmtId="0" fontId="6" fillId="0" borderId="10" xfId="54" applyFont="1" applyFill="1" applyBorder="1" applyAlignment="1">
      <alignment horizontal="left"/>
      <protection/>
    </xf>
    <xf numFmtId="0" fontId="14" fillId="0" borderId="10" xfId="54" applyFont="1" applyFill="1" applyBorder="1" applyAlignment="1">
      <alignment horizontal="left"/>
      <protection/>
    </xf>
    <xf numFmtId="191" fontId="14" fillId="0" borderId="10" xfId="54" applyNumberFormat="1" applyFont="1" applyFill="1" applyBorder="1">
      <alignment/>
      <protection/>
    </xf>
    <xf numFmtId="0" fontId="17" fillId="0" borderId="10" xfId="54" applyFont="1" applyFill="1" applyBorder="1">
      <alignment/>
      <protection/>
    </xf>
    <xf numFmtId="191" fontId="17" fillId="0" borderId="10" xfId="54" applyNumberFormat="1" applyFont="1" applyFill="1" applyBorder="1">
      <alignment/>
      <protection/>
    </xf>
    <xf numFmtId="3" fontId="17" fillId="0" borderId="11" xfId="54" applyNumberFormat="1" applyFont="1" applyFill="1" applyBorder="1">
      <alignment/>
      <protection/>
    </xf>
    <xf numFmtId="0" fontId="10" fillId="0" borderId="0" xfId="54" applyFont="1" applyFill="1">
      <alignment/>
      <protection/>
    </xf>
    <xf numFmtId="0" fontId="8" fillId="22" borderId="10" xfId="54" applyFont="1" applyFill="1" applyBorder="1">
      <alignment/>
      <protection/>
    </xf>
    <xf numFmtId="3" fontId="8" fillId="22" borderId="10" xfId="54" applyNumberFormat="1" applyFont="1" applyFill="1" applyBorder="1">
      <alignment/>
      <protection/>
    </xf>
    <xf numFmtId="0" fontId="6" fillId="0" borderId="10" xfId="54" applyFont="1" applyFill="1" applyBorder="1" applyAlignment="1">
      <alignment horizontal="left" wrapText="1"/>
      <protection/>
    </xf>
    <xf numFmtId="49" fontId="8" fillId="0" borderId="10" xfId="54" applyNumberFormat="1" applyFont="1" applyFill="1" applyBorder="1" applyAlignment="1">
      <alignment horizontal="right"/>
      <protection/>
    </xf>
    <xf numFmtId="3" fontId="6" fillId="22" borderId="11" xfId="54" applyNumberFormat="1" applyFont="1" applyFill="1" applyBorder="1">
      <alignment/>
      <protection/>
    </xf>
    <xf numFmtId="3" fontId="6" fillId="22" borderId="10" xfId="54" applyNumberFormat="1" applyFont="1" applyFill="1" applyBorder="1">
      <alignment/>
      <protection/>
    </xf>
    <xf numFmtId="49" fontId="8" fillId="22" borderId="10" xfId="54" applyNumberFormat="1" applyFont="1" applyFill="1" applyBorder="1" applyAlignment="1">
      <alignment horizontal="right"/>
      <protection/>
    </xf>
    <xf numFmtId="49" fontId="14" fillId="0" borderId="10" xfId="54" applyNumberFormat="1" applyFont="1" applyFill="1" applyBorder="1" applyAlignment="1">
      <alignment horizontal="right"/>
      <protection/>
    </xf>
    <xf numFmtId="0" fontId="17" fillId="0" borderId="10" xfId="54" applyFont="1" applyFill="1" applyBorder="1" applyAlignment="1">
      <alignment horizontal="left" wrapText="1"/>
      <protection/>
    </xf>
    <xf numFmtId="49" fontId="17" fillId="0" borderId="10" xfId="54" applyNumberFormat="1" applyFont="1" applyFill="1" applyBorder="1" applyAlignment="1">
      <alignment horizontal="right"/>
      <protection/>
    </xf>
    <xf numFmtId="4" fontId="8" fillId="0" borderId="10" xfId="54" applyNumberFormat="1" applyFont="1" applyBorder="1" applyAlignment="1">
      <alignment horizontal="left" wrapText="1"/>
      <protection/>
    </xf>
    <xf numFmtId="4" fontId="7" fillId="0" borderId="0" xfId="54" applyNumberFormat="1" applyFont="1" applyAlignment="1">
      <alignment wrapText="1"/>
      <protection/>
    </xf>
    <xf numFmtId="0" fontId="40" fillId="0" borderId="10" xfId="55" applyFont="1" applyBorder="1" applyAlignment="1">
      <alignment horizontal="center"/>
      <protection/>
    </xf>
    <xf numFmtId="0" fontId="0" fillId="0" borderId="10" xfId="0" applyBorder="1" applyAlignment="1">
      <alignment horizontal="left" wrapText="1"/>
    </xf>
    <xf numFmtId="0" fontId="14" fillId="0" borderId="12" xfId="54" applyFont="1" applyFill="1" applyBorder="1" applyAlignment="1">
      <alignment horizontal="left" wrapText="1"/>
      <protection/>
    </xf>
    <xf numFmtId="0" fontId="14" fillId="0" borderId="13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2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right" wrapText="1"/>
      <protection/>
    </xf>
    <xf numFmtId="0" fontId="6" fillId="0" borderId="12" xfId="54" applyFont="1" applyFill="1" applyBorder="1" applyAlignment="1">
      <alignment horizontal="right" wrapText="1"/>
      <protection/>
    </xf>
    <xf numFmtId="0" fontId="6" fillId="0" borderId="13" xfId="54" applyFont="1" applyFill="1" applyBorder="1" applyAlignment="1">
      <alignment horizontal="right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41" fillId="0" borderId="0" xfId="54" applyFont="1">
      <alignment/>
      <protection/>
    </xf>
    <xf numFmtId="0" fontId="41" fillId="0" borderId="0" xfId="54" applyFont="1" applyAlignment="1">
      <alignment wrapText="1"/>
      <protection/>
    </xf>
    <xf numFmtId="0" fontId="42" fillId="0" borderId="14" xfId="54" applyFont="1" applyBorder="1">
      <alignment/>
      <protection/>
    </xf>
    <xf numFmtId="0" fontId="5" fillId="0" borderId="14" xfId="54" applyFont="1" applyBorder="1" applyAlignment="1">
      <alignment/>
      <protection/>
    </xf>
    <xf numFmtId="0" fontId="5" fillId="0" borderId="14" xfId="54" applyFont="1" applyBorder="1" applyAlignment="1">
      <alignment horizontal="center"/>
      <protection/>
    </xf>
    <xf numFmtId="0" fontId="5" fillId="0" borderId="14" xfId="54" applyFont="1" applyBorder="1">
      <alignment/>
      <protection/>
    </xf>
    <xf numFmtId="0" fontId="5" fillId="0" borderId="14" xfId="53" applyFont="1" applyBorder="1" applyAlignment="1">
      <alignment vertical="center" wrapText="1"/>
    </xf>
    <xf numFmtId="0" fontId="5" fillId="0" borderId="14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41" fillId="0" borderId="0" xfId="53" applyNumberFormat="1" applyFont="1" applyFill="1" applyBorder="1" applyAlignment="1" applyProtection="1">
      <alignment horizontal="right" vertical="top"/>
      <protection/>
    </xf>
    <xf numFmtId="0" fontId="41" fillId="0" borderId="0" xfId="53" applyNumberFormat="1" applyFont="1" applyFill="1" applyBorder="1" applyAlignment="1" applyProtection="1">
      <alignment vertical="top"/>
      <protection/>
    </xf>
    <xf numFmtId="0" fontId="44" fillId="0" borderId="14" xfId="53" applyNumberFormat="1" applyFont="1" applyFill="1" applyBorder="1" applyAlignment="1" applyProtection="1">
      <alignment vertical="top"/>
      <protection/>
    </xf>
    <xf numFmtId="0" fontId="12" fillId="0" borderId="14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44" fillId="0" borderId="12" xfId="53" applyNumberFormat="1" applyFont="1" applyFill="1" applyBorder="1" applyAlignment="1" applyProtection="1">
      <alignment vertical="top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186" fontId="46" fillId="0" borderId="10" xfId="53" applyNumberFormat="1" applyFont="1" applyFill="1" applyBorder="1" applyAlignment="1" applyProtection="1">
      <alignment horizontal="center"/>
      <protection/>
    </xf>
    <xf numFmtId="0" fontId="46" fillId="0" borderId="10" xfId="53" applyNumberFormat="1" applyFont="1" applyFill="1" applyBorder="1" applyAlignment="1" applyProtection="1">
      <alignment/>
      <protection/>
    </xf>
    <xf numFmtId="3" fontId="46" fillId="0" borderId="10" xfId="53" applyNumberFormat="1" applyFont="1" applyFill="1" applyBorder="1" applyAlignment="1" applyProtection="1">
      <alignment/>
      <protection/>
    </xf>
    <xf numFmtId="186" fontId="47" fillId="0" borderId="10" xfId="53" applyNumberFormat="1" applyFont="1" applyFill="1" applyBorder="1" applyAlignment="1" applyProtection="1">
      <alignment horizontal="center"/>
      <protection/>
    </xf>
    <xf numFmtId="0" fontId="47" fillId="0" borderId="10" xfId="53" applyNumberFormat="1" applyFont="1" applyFill="1" applyBorder="1" applyAlignment="1" applyProtection="1">
      <alignment/>
      <protection/>
    </xf>
    <xf numFmtId="3" fontId="47" fillId="0" borderId="10" xfId="53" applyNumberFormat="1" applyFont="1" applyFill="1" applyBorder="1" applyAlignment="1" applyProtection="1">
      <alignment/>
      <protection/>
    </xf>
    <xf numFmtId="0" fontId="14" fillId="0" borderId="11" xfId="54" applyFont="1" applyFill="1" applyBorder="1" applyAlignment="1">
      <alignment horizontal="left" wrapText="1"/>
      <protection/>
    </xf>
    <xf numFmtId="186" fontId="41" fillId="0" borderId="10" xfId="53" applyNumberFormat="1" applyFont="1" applyFill="1" applyBorder="1" applyAlignment="1" applyProtection="1">
      <alignment horizontal="center"/>
      <protection/>
    </xf>
    <xf numFmtId="0" fontId="41" fillId="0" borderId="10" xfId="53" applyNumberFormat="1" applyFont="1" applyFill="1" applyBorder="1" applyAlignment="1" applyProtection="1">
      <alignment/>
      <protection/>
    </xf>
    <xf numFmtId="3" fontId="41" fillId="0" borderId="10" xfId="53" applyNumberFormat="1" applyFont="1" applyFill="1" applyBorder="1" applyAlignment="1" applyProtection="1">
      <alignment/>
      <protection/>
    </xf>
    <xf numFmtId="0" fontId="41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3" fontId="45" fillId="0" borderId="10" xfId="53" applyNumberFormat="1" applyFont="1" applyFill="1" applyBorder="1" applyAlignment="1" applyProtection="1">
      <alignment vertical="top"/>
      <protection/>
    </xf>
    <xf numFmtId="0" fontId="45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41" fillId="0" borderId="10" xfId="53" applyNumberFormat="1" applyFont="1" applyFill="1" applyBorder="1" applyAlignment="1" applyProtection="1">
      <alignment vertical="top"/>
      <protection/>
    </xf>
    <xf numFmtId="3" fontId="46" fillId="0" borderId="10" xfId="53" applyNumberFormat="1" applyFont="1" applyFill="1" applyBorder="1" applyAlignment="1" applyProtection="1">
      <alignment vertical="top"/>
      <protection/>
    </xf>
    <xf numFmtId="186" fontId="8" fillId="11" borderId="10" xfId="54" applyNumberFormat="1" applyFont="1" applyFill="1" applyBorder="1" applyAlignment="1">
      <alignment horizontal="center" wrapText="1"/>
      <protection/>
    </xf>
    <xf numFmtId="49" fontId="8" fillId="11" borderId="10" xfId="54" applyNumberFormat="1" applyFont="1" applyFill="1" applyBorder="1" applyAlignment="1">
      <alignment horizontal="center" wrapText="1"/>
      <protection/>
    </xf>
    <xf numFmtId="0" fontId="6" fillId="11" borderId="10" xfId="54" applyFont="1" applyFill="1" applyBorder="1" applyAlignment="1">
      <alignment horizontal="center" wrapText="1"/>
      <protection/>
    </xf>
    <xf numFmtId="0" fontId="6" fillId="11" borderId="10" xfId="54" applyFont="1" applyFill="1" applyBorder="1" applyAlignment="1">
      <alignment wrapText="1"/>
      <protection/>
    </xf>
    <xf numFmtId="3" fontId="46" fillId="11" borderId="10" xfId="53" applyNumberFormat="1" applyFont="1" applyFill="1" applyBorder="1" applyAlignment="1" applyProtection="1">
      <alignment horizontal="center"/>
      <protection/>
    </xf>
    <xf numFmtId="3" fontId="46" fillId="0" borderId="10" xfId="53" applyNumberFormat="1" applyFont="1" applyFill="1" applyBorder="1" applyAlignment="1" applyProtection="1">
      <alignment horizontal="center"/>
      <protection/>
    </xf>
    <xf numFmtId="3" fontId="47" fillId="0" borderId="10" xfId="53" applyNumberFormat="1" applyFont="1" applyFill="1" applyBorder="1" applyAlignment="1" applyProtection="1">
      <alignment horizontal="center"/>
      <protection/>
    </xf>
    <xf numFmtId="3" fontId="41" fillId="0" borderId="10" xfId="53" applyNumberFormat="1" applyFont="1" applyFill="1" applyBorder="1" applyAlignment="1" applyProtection="1">
      <alignment horizontal="center"/>
      <protection/>
    </xf>
    <xf numFmtId="0" fontId="41" fillId="0" borderId="10" xfId="53" applyNumberFormat="1" applyFont="1" applyFill="1" applyBorder="1" applyAlignment="1" applyProtection="1">
      <alignment vertical="top"/>
      <protection/>
    </xf>
    <xf numFmtId="3" fontId="48" fillId="0" borderId="10" xfId="53" applyNumberFormat="1" applyFont="1" applyFill="1" applyBorder="1" applyAlignment="1" applyProtection="1">
      <alignment horizontal="center"/>
      <protection/>
    </xf>
    <xf numFmtId="0" fontId="8" fillId="11" borderId="10" xfId="54" applyFont="1" applyFill="1" applyBorder="1" applyAlignment="1">
      <alignment horizontal="center" wrapText="1"/>
      <protection/>
    </xf>
    <xf numFmtId="0" fontId="8" fillId="11" borderId="10" xfId="54" applyFont="1" applyFill="1" applyBorder="1">
      <alignment/>
      <protection/>
    </xf>
    <xf numFmtId="0" fontId="48" fillId="0" borderId="10" xfId="53" applyNumberFormat="1" applyFont="1" applyFill="1" applyBorder="1" applyAlignment="1" applyProtection="1">
      <alignment horizontal="center"/>
      <protection/>
    </xf>
    <xf numFmtId="0" fontId="49" fillId="0" borderId="0" xfId="53" applyNumberFormat="1" applyFont="1" applyFill="1" applyBorder="1" applyAlignment="1" applyProtection="1">
      <alignment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0" fontId="12" fillId="0" borderId="14" xfId="53" applyNumberFormat="1" applyFont="1" applyFill="1" applyBorder="1" applyAlignment="1" applyProtection="1">
      <alignment/>
      <protection/>
    </xf>
    <xf numFmtId="3" fontId="50" fillId="0" borderId="10" xfId="53" applyNumberFormat="1" applyFont="1" applyFill="1" applyBorder="1" applyAlignment="1" applyProtection="1">
      <alignment horizontal="center"/>
      <protection/>
    </xf>
    <xf numFmtId="4" fontId="50" fillId="0" borderId="10" xfId="53" applyNumberFormat="1" applyFont="1" applyFill="1" applyBorder="1" applyAlignment="1" applyProtection="1">
      <alignment vertical="top"/>
      <protection/>
    </xf>
    <xf numFmtId="3" fontId="50" fillId="0" borderId="10" xfId="53" applyNumberFormat="1" applyFont="1" applyFill="1" applyBorder="1" applyAlignment="1" applyProtection="1">
      <alignment vertical="top"/>
      <protection/>
    </xf>
    <xf numFmtId="0" fontId="50" fillId="0" borderId="10" xfId="53" applyNumberFormat="1" applyFont="1" applyFill="1" applyBorder="1" applyAlignment="1" applyProtection="1">
      <alignment vertical="top"/>
      <protection/>
    </xf>
    <xf numFmtId="0" fontId="41" fillId="0" borderId="15" xfId="53" applyNumberFormat="1" applyFont="1" applyFill="1" applyBorder="1" applyAlignment="1" applyProtection="1">
      <alignment horizontal="center" vertical="top"/>
      <protection/>
    </xf>
    <xf numFmtId="0" fontId="41" fillId="0" borderId="15" xfId="53" applyNumberFormat="1" applyFont="1" applyFill="1" applyBorder="1" applyAlignment="1" applyProtection="1">
      <alignment horizontal="center"/>
      <protection/>
    </xf>
    <xf numFmtId="0" fontId="17" fillId="0" borderId="11" xfId="54" applyFont="1" applyFill="1" applyBorder="1" applyAlignment="1">
      <alignment horizontal="left" wrapText="1"/>
      <protection/>
    </xf>
    <xf numFmtId="0" fontId="17" fillId="0" borderId="12" xfId="54" applyFont="1" applyFill="1" applyBorder="1" applyAlignment="1">
      <alignment horizontal="left" wrapText="1"/>
      <protection/>
    </xf>
    <xf numFmtId="0" fontId="17" fillId="0" borderId="13" xfId="54" applyFont="1" applyFill="1" applyBorder="1" applyAlignment="1">
      <alignment horizontal="left" wrapText="1"/>
      <protection/>
    </xf>
    <xf numFmtId="0" fontId="41" fillId="0" borderId="11" xfId="53" applyNumberFormat="1" applyFont="1" applyFill="1" applyBorder="1" applyAlignment="1" applyProtection="1">
      <alignment horizontal="left" wrapText="1"/>
      <protection/>
    </xf>
    <xf numFmtId="0" fontId="41" fillId="0" borderId="12" xfId="53" applyNumberFormat="1" applyFont="1" applyFill="1" applyBorder="1" applyAlignment="1" applyProtection="1">
      <alignment horizontal="left" wrapText="1"/>
      <protection/>
    </xf>
    <xf numFmtId="0" fontId="41" fillId="0" borderId="13" xfId="53" applyNumberFormat="1" applyFont="1" applyFill="1" applyBorder="1" applyAlignment="1" applyProtection="1">
      <alignment horizontal="lef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2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8" fillId="11" borderId="11" xfId="54" applyFont="1" applyFill="1" applyBorder="1" applyAlignment="1">
      <alignment horizontal="left" wrapText="1"/>
      <protection/>
    </xf>
    <xf numFmtId="0" fontId="8" fillId="11" borderId="12" xfId="54" applyFont="1" applyFill="1" applyBorder="1" applyAlignment="1">
      <alignment horizontal="left" wrapText="1"/>
      <protection/>
    </xf>
    <xf numFmtId="0" fontId="8" fillId="11" borderId="13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8" fillId="0" borderId="12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12" xfId="54" applyFont="1" applyFill="1" applyBorder="1" applyAlignment="1">
      <alignment horizontal="right"/>
      <protection/>
    </xf>
    <xf numFmtId="0" fontId="6" fillId="0" borderId="13" xfId="54" applyFont="1" applyFill="1" applyBorder="1" applyAlignment="1">
      <alignment horizontal="right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2" xfId="54" applyFont="1" applyBorder="1" applyAlignment="1">
      <alignment horizontal="left" wrapText="1"/>
      <protection/>
    </xf>
    <xf numFmtId="0" fontId="8" fillId="0" borderId="13" xfId="54" applyFont="1" applyBorder="1" applyAlignment="1">
      <alignment horizontal="left" wrapText="1"/>
      <protection/>
    </xf>
    <xf numFmtId="0" fontId="12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2" xfId="53" applyNumberFormat="1" applyFont="1" applyFill="1" applyBorder="1" applyAlignment="1" applyProtection="1">
      <alignment horizontal="center" vertical="top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2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45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8" xfId="53" applyNumberFormat="1" applyFont="1" applyFill="1" applyBorder="1" applyAlignment="1" applyProtection="1">
      <alignment horizontal="center" vertical="center"/>
      <protection/>
    </xf>
    <xf numFmtId="0" fontId="12" fillId="0" borderId="15" xfId="53" applyNumberFormat="1" applyFont="1" applyFill="1" applyBorder="1" applyAlignment="1" applyProtection="1">
      <alignment horizontal="center" vertical="center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14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top" wrapText="1"/>
      <protection/>
    </xf>
    <xf numFmtId="0" fontId="12" fillId="0" borderId="17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44" fillId="0" borderId="15" xfId="53" applyNumberFormat="1" applyFont="1" applyFill="1" applyBorder="1" applyAlignment="1" applyProtection="1">
      <alignment horizontal="center" vertical="center" wrapText="1"/>
      <protection/>
    </xf>
    <xf numFmtId="0" fontId="44" fillId="0" borderId="14" xfId="53" applyNumberFormat="1" applyFont="1" applyFill="1" applyBorder="1" applyAlignment="1" applyProtection="1">
      <alignment horizontal="center" vertical="top" wrapText="1"/>
      <protection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3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0" fontId="41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43" fillId="0" borderId="14" xfId="53" applyFont="1" applyBorder="1" applyAlignment="1">
      <alignment horizontal="center" vertical="center"/>
    </xf>
    <xf numFmtId="0" fontId="6" fillId="0" borderId="0" xfId="54" applyFont="1" applyBorder="1" applyAlignment="1">
      <alignment horizontal="right" vertical="center"/>
      <protection/>
    </xf>
    <xf numFmtId="0" fontId="6" fillId="0" borderId="21" xfId="54" applyFont="1" applyBorder="1" applyAlignment="1">
      <alignment horizontal="right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54" applyFont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11" xfId="54" applyFont="1" applyBorder="1" applyAlignment="1">
      <alignment horizontal="center" wrapText="1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6" fillId="0" borderId="0" xfId="54" applyFont="1" applyBorder="1" applyAlignment="1">
      <alignment horizontal="center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4" fontId="10" fillId="0" borderId="10" xfId="55" applyNumberFormat="1" applyFont="1" applyBorder="1" applyAlignment="1">
      <alignment horizontal="center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9" fillId="24" borderId="0" xfId="55" applyFont="1" applyFill="1" applyAlignment="1">
      <alignment horizontal="center" wrapText="1"/>
      <protection/>
    </xf>
    <xf numFmtId="0" fontId="9" fillId="24" borderId="0" xfId="55" applyFont="1" applyFill="1" applyAlignment="1">
      <alignment horizontal="center"/>
      <protection/>
    </xf>
    <xf numFmtId="4" fontId="5" fillId="0" borderId="10" xfId="55" applyNumberFormat="1" applyFont="1" applyBorder="1" applyAlignment="1">
      <alignment horizontal="center" wrapText="1"/>
      <protection/>
    </xf>
    <xf numFmtId="0" fontId="3" fillId="0" borderId="20" xfId="55" applyFont="1" applyBorder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11" fillId="0" borderId="0" xfId="55" applyFont="1" applyBorder="1" applyAlignment="1">
      <alignment horizontal="left" wrapText="1"/>
      <protection/>
    </xf>
    <xf numFmtId="0" fontId="5" fillId="0" borderId="10" xfId="55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4" fontId="22" fillId="0" borderId="11" xfId="55" applyNumberFormat="1" applyFont="1" applyBorder="1" applyAlignment="1">
      <alignment horizontal="center" wrapText="1"/>
      <protection/>
    </xf>
    <xf numFmtId="4" fontId="22" fillId="0" borderId="13" xfId="55" applyNumberFormat="1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center" wrapText="1"/>
      <protection/>
    </xf>
    <xf numFmtId="4" fontId="3" fillId="0" borderId="11" xfId="55" applyNumberFormat="1" applyFont="1" applyBorder="1" applyAlignment="1">
      <alignment horizontal="center" wrapText="1"/>
      <protection/>
    </xf>
    <xf numFmtId="4" fontId="3" fillId="0" borderId="13" xfId="55" applyNumberFormat="1" applyFont="1" applyBorder="1" applyAlignment="1">
      <alignment horizontal="center" wrapText="1"/>
      <protection/>
    </xf>
    <xf numFmtId="4" fontId="18" fillId="0" borderId="10" xfId="55" applyNumberFormat="1" applyFont="1" applyBorder="1" applyAlignment="1">
      <alignment horizontal="center" wrapText="1"/>
      <protection/>
    </xf>
    <xf numFmtId="3" fontId="9" fillId="0" borderId="10" xfId="55" applyNumberFormat="1" applyFont="1" applyBorder="1" applyAlignment="1">
      <alignment horizontal="center" wrapText="1"/>
      <protection/>
    </xf>
    <xf numFmtId="3" fontId="3" fillId="0" borderId="10" xfId="55" applyNumberFormat="1" applyFont="1" applyBorder="1" applyAlignment="1">
      <alignment horizontal="center" wrapText="1"/>
      <protection/>
    </xf>
    <xf numFmtId="4" fontId="18" fillId="0" borderId="11" xfId="55" applyNumberFormat="1" applyFont="1" applyBorder="1" applyAlignment="1">
      <alignment horizontal="center" wrapText="1"/>
      <protection/>
    </xf>
    <xf numFmtId="4" fontId="18" fillId="0" borderId="13" xfId="55" applyNumberFormat="1" applyFont="1" applyBorder="1" applyAlignment="1">
      <alignment horizontal="center" wrapText="1"/>
      <protection/>
    </xf>
    <xf numFmtId="3" fontId="22" fillId="0" borderId="11" xfId="55" applyNumberFormat="1" applyFont="1" applyBorder="1" applyAlignment="1">
      <alignment horizontal="center" wrapText="1"/>
      <protection/>
    </xf>
    <xf numFmtId="3" fontId="22" fillId="0" borderId="13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4" fontId="3" fillId="0" borderId="11" xfId="55" applyNumberFormat="1" applyFont="1" applyBorder="1" applyAlignment="1">
      <alignment horizontal="center"/>
      <protection/>
    </xf>
    <xf numFmtId="4" fontId="3" fillId="0" borderId="13" xfId="55" applyNumberFormat="1" applyFont="1" applyBorder="1" applyAlignment="1">
      <alignment horizontal="center"/>
      <protection/>
    </xf>
    <xf numFmtId="4" fontId="9" fillId="0" borderId="11" xfId="55" applyNumberFormat="1" applyFont="1" applyBorder="1" applyAlignment="1">
      <alignment horizontal="center"/>
      <protection/>
    </xf>
    <xf numFmtId="4" fontId="9" fillId="0" borderId="13" xfId="55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83;&#1077;&#1084;&#1077;&#1096;&#1082;%20&#1076;&#1089;%20&#1086;&#1090;%2009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смета (2)"/>
      <sheetName val="смета (3)"/>
      <sheetName val="расчеты м 2019"/>
      <sheetName val="расчеты м 2020"/>
      <sheetName val="расчеты м 2021 "/>
      <sheetName val="расч об 2019"/>
      <sheetName val="расч об 2020"/>
      <sheetName val="расч об 2021"/>
      <sheetName val="кредиторка"/>
      <sheetName val="фин грам 2019-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zoomScale="110" zoomScaleNormal="110" workbookViewId="0" topLeftCell="A133">
      <selection activeCell="J130" sqref="J130:P131"/>
    </sheetView>
  </sheetViews>
  <sheetFormatPr defaultColWidth="9.140625" defaultRowHeight="12.75"/>
  <cols>
    <col min="1" max="1" width="6.00390625" style="206" customWidth="1"/>
    <col min="2" max="2" width="5.7109375" style="206" customWidth="1"/>
    <col min="3" max="3" width="9.140625" style="206" customWidth="1"/>
    <col min="4" max="4" width="9.57421875" style="206" customWidth="1"/>
    <col min="5" max="5" width="6.28125" style="206" customWidth="1"/>
    <col min="6" max="6" width="7.140625" style="206" customWidth="1"/>
    <col min="7" max="7" width="9.140625" style="206" customWidth="1"/>
    <col min="8" max="8" width="6.7109375" style="206" customWidth="1"/>
    <col min="9" max="9" width="7.140625" style="206" customWidth="1"/>
    <col min="10" max="10" width="8.8515625" style="206" customWidth="1"/>
    <col min="11" max="11" width="5.7109375" style="206" customWidth="1"/>
    <col min="12" max="12" width="5.57421875" style="206" customWidth="1"/>
    <col min="13" max="13" width="8.8515625" style="206" customWidth="1"/>
    <col min="14" max="14" width="5.140625" style="206" customWidth="1"/>
    <col min="15" max="15" width="5.7109375" style="206" customWidth="1"/>
    <col min="16" max="16" width="11.140625" style="206" bestFit="1" customWidth="1"/>
    <col min="17" max="17" width="5.140625" style="206" customWidth="1"/>
    <col min="18" max="18" width="5.28125" style="206" customWidth="1"/>
    <col min="19" max="16384" width="9.140625" style="206" customWidth="1"/>
  </cols>
  <sheetData>
    <row r="1" ht="11.25">
      <c r="K1" s="207" t="s">
        <v>253</v>
      </c>
    </row>
    <row r="2" spans="9:15" ht="32.25" customHeight="1">
      <c r="I2" s="317" t="s">
        <v>254</v>
      </c>
      <c r="J2" s="317"/>
      <c r="K2" s="317"/>
      <c r="L2" s="317"/>
      <c r="M2" s="317"/>
      <c r="N2" s="317"/>
      <c r="O2" s="208"/>
    </row>
    <row r="4" spans="9:14" ht="12.75">
      <c r="I4" s="318" t="s">
        <v>4</v>
      </c>
      <c r="J4" s="318"/>
      <c r="K4" s="318"/>
      <c r="L4" s="318"/>
      <c r="M4" s="318"/>
      <c r="N4" s="318"/>
    </row>
    <row r="5" spans="9:14" ht="12">
      <c r="I5" s="209" t="s">
        <v>122</v>
      </c>
      <c r="J5" s="210"/>
      <c r="K5" s="210"/>
      <c r="L5" s="211"/>
      <c r="M5" s="211"/>
      <c r="N5" s="211"/>
    </row>
    <row r="6" spans="9:14" ht="11.25">
      <c r="I6" s="319" t="s">
        <v>255</v>
      </c>
      <c r="J6" s="319"/>
      <c r="K6" s="319"/>
      <c r="L6" s="319"/>
      <c r="M6" s="319"/>
      <c r="N6" s="319"/>
    </row>
    <row r="7" spans="9:14" ht="12">
      <c r="I7" s="209" t="s">
        <v>89</v>
      </c>
      <c r="J7" s="210"/>
      <c r="K7" s="210"/>
      <c r="L7" s="211"/>
      <c r="M7" s="211"/>
      <c r="N7" s="211"/>
    </row>
    <row r="8" spans="9:14" ht="21.75" customHeight="1">
      <c r="I8" s="320" t="s">
        <v>256</v>
      </c>
      <c r="J8" s="320"/>
      <c r="K8" s="320"/>
      <c r="L8" s="320"/>
      <c r="M8" s="320"/>
      <c r="N8" s="320"/>
    </row>
    <row r="10" spans="9:14" ht="12">
      <c r="I10" s="212"/>
      <c r="J10" s="213"/>
      <c r="K10" s="214"/>
      <c r="L10" s="321" t="s">
        <v>257</v>
      </c>
      <c r="M10" s="321"/>
      <c r="N10" s="321"/>
    </row>
    <row r="11" spans="9:14" ht="11.25" customHeight="1">
      <c r="I11" s="319" t="s">
        <v>258</v>
      </c>
      <c r="J11" s="319"/>
      <c r="K11" s="319"/>
      <c r="L11" s="320" t="s">
        <v>259</v>
      </c>
      <c r="M11" s="320"/>
      <c r="N11" s="320"/>
    </row>
    <row r="13" spans="9:12" ht="24">
      <c r="I13" s="212" t="s">
        <v>260</v>
      </c>
      <c r="J13" s="213"/>
      <c r="K13" s="214"/>
      <c r="L13" s="214" t="s">
        <v>261</v>
      </c>
    </row>
    <row r="17" spans="1:14" s="2" customFormat="1" ht="12">
      <c r="A17" s="311" t="s">
        <v>262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215"/>
      <c r="M17" s="312" t="s">
        <v>263</v>
      </c>
      <c r="N17" s="312"/>
    </row>
    <row r="18" spans="1:14" s="2" customFormat="1" ht="12" customHeight="1">
      <c r="A18" s="313" t="s">
        <v>264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" t="s">
        <v>265</v>
      </c>
      <c r="M18" s="314">
        <v>501012</v>
      </c>
      <c r="N18" s="315"/>
    </row>
    <row r="19" spans="1:14" ht="11.25" customHeight="1">
      <c r="A19" s="316" t="s">
        <v>266</v>
      </c>
      <c r="B19" s="316"/>
      <c r="C19" s="316"/>
      <c r="D19" s="316"/>
      <c r="E19" s="316"/>
      <c r="F19" s="316"/>
      <c r="G19" s="316"/>
      <c r="H19" s="316"/>
      <c r="I19" s="316"/>
      <c r="J19" s="316"/>
      <c r="L19" s="216" t="s">
        <v>8</v>
      </c>
      <c r="M19" s="288"/>
      <c r="N19" s="290"/>
    </row>
    <row r="20" spans="11:14" ht="11.25">
      <c r="K20" s="217" t="s">
        <v>267</v>
      </c>
      <c r="M20" s="288"/>
      <c r="N20" s="290"/>
    </row>
    <row r="21" spans="1:14" ht="11.25">
      <c r="A21" s="1" t="s">
        <v>10</v>
      </c>
      <c r="E21" s="218" t="s">
        <v>303</v>
      </c>
      <c r="F21" s="219"/>
      <c r="G21" s="219"/>
      <c r="H21" s="219"/>
      <c r="I21" s="219"/>
      <c r="J21" s="219"/>
      <c r="K21" s="217" t="s">
        <v>267</v>
      </c>
      <c r="L21" s="217"/>
      <c r="M21" s="288"/>
      <c r="N21" s="290"/>
    </row>
    <row r="22" spans="1:14" ht="25.5" customHeight="1">
      <c r="A22" s="1" t="s">
        <v>12</v>
      </c>
      <c r="E22" s="309" t="s">
        <v>89</v>
      </c>
      <c r="F22" s="309"/>
      <c r="G22" s="309"/>
      <c r="H22" s="309"/>
      <c r="I22" s="309"/>
      <c r="J22" s="309"/>
      <c r="K22" s="217" t="s">
        <v>268</v>
      </c>
      <c r="L22" s="217"/>
      <c r="M22" s="288"/>
      <c r="N22" s="290"/>
    </row>
    <row r="23" spans="1:14" ht="26.25" customHeight="1">
      <c r="A23" s="1" t="s">
        <v>13</v>
      </c>
      <c r="F23" s="310" t="s">
        <v>89</v>
      </c>
      <c r="G23" s="310"/>
      <c r="H23" s="310"/>
      <c r="I23" s="310"/>
      <c r="J23" s="310"/>
      <c r="K23" s="217" t="s">
        <v>269</v>
      </c>
      <c r="L23" s="216"/>
      <c r="M23" s="288"/>
      <c r="N23" s="290"/>
    </row>
    <row r="24" spans="1:14" ht="11.25">
      <c r="A24" s="1" t="s">
        <v>15</v>
      </c>
      <c r="D24" s="218" t="s">
        <v>270</v>
      </c>
      <c r="E24" s="219"/>
      <c r="F24" s="219"/>
      <c r="G24" s="219"/>
      <c r="H24" s="219"/>
      <c r="I24" s="220"/>
      <c r="K24" s="217"/>
      <c r="L24" s="216" t="s">
        <v>19</v>
      </c>
      <c r="M24" s="288">
        <v>383</v>
      </c>
      <c r="N24" s="290"/>
    </row>
    <row r="25" spans="1:4" ht="11.25">
      <c r="A25" s="1" t="s">
        <v>17</v>
      </c>
      <c r="D25" s="221" t="s">
        <v>18</v>
      </c>
    </row>
    <row r="28" spans="1:14" ht="11.25">
      <c r="A28" s="294" t="s">
        <v>271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</row>
    <row r="30" spans="2:15" ht="29.25" customHeight="1">
      <c r="B30" s="287" t="s">
        <v>272</v>
      </c>
      <c r="C30" s="287"/>
      <c r="D30" s="287"/>
      <c r="E30" s="287"/>
      <c r="F30" s="285" t="s">
        <v>273</v>
      </c>
      <c r="G30" s="308" t="s">
        <v>274</v>
      </c>
      <c r="H30" s="308"/>
      <c r="I30" s="308"/>
      <c r="J30" s="308"/>
      <c r="K30" s="308"/>
      <c r="L30" s="308"/>
      <c r="M30" s="308"/>
      <c r="N30" s="308"/>
      <c r="O30" s="308"/>
    </row>
    <row r="31" spans="2:15" ht="22.5" customHeight="1">
      <c r="B31" s="285" t="s">
        <v>275</v>
      </c>
      <c r="C31" s="285" t="s">
        <v>276</v>
      </c>
      <c r="D31" s="285" t="s">
        <v>277</v>
      </c>
      <c r="E31" s="285" t="s">
        <v>278</v>
      </c>
      <c r="F31" s="307"/>
      <c r="G31" s="291" t="s">
        <v>279</v>
      </c>
      <c r="H31" s="292"/>
      <c r="I31" s="293"/>
      <c r="J31" s="291" t="s">
        <v>280</v>
      </c>
      <c r="K31" s="292"/>
      <c r="L31" s="293"/>
      <c r="M31" s="287" t="s">
        <v>281</v>
      </c>
      <c r="N31" s="287"/>
      <c r="O31" s="287"/>
    </row>
    <row r="32" spans="2:15" ht="45">
      <c r="B32" s="286"/>
      <c r="C32" s="286"/>
      <c r="D32" s="286"/>
      <c r="E32" s="286"/>
      <c r="F32" s="286"/>
      <c r="G32" s="223" t="s">
        <v>282</v>
      </c>
      <c r="H32" s="223" t="s">
        <v>31</v>
      </c>
      <c r="I32" s="223" t="s">
        <v>283</v>
      </c>
      <c r="J32" s="223" t="s">
        <v>282</v>
      </c>
      <c r="K32" s="223" t="s">
        <v>31</v>
      </c>
      <c r="L32" s="223" t="s">
        <v>283</v>
      </c>
      <c r="M32" s="223" t="s">
        <v>282</v>
      </c>
      <c r="N32" s="223" t="s">
        <v>31</v>
      </c>
      <c r="O32" s="223" t="s">
        <v>283</v>
      </c>
    </row>
    <row r="33" spans="2:15" ht="11.25">
      <c r="B33" s="222">
        <v>1</v>
      </c>
      <c r="C33" s="222">
        <v>2</v>
      </c>
      <c r="D33" s="222">
        <v>3</v>
      </c>
      <c r="E33" s="222">
        <v>4</v>
      </c>
      <c r="F33" s="222">
        <f aca="true" t="shared" si="0" ref="F33:O33">E33+1</f>
        <v>5</v>
      </c>
      <c r="G33" s="222">
        <f t="shared" si="0"/>
        <v>6</v>
      </c>
      <c r="H33" s="222">
        <f t="shared" si="0"/>
        <v>7</v>
      </c>
      <c r="I33" s="222">
        <f t="shared" si="0"/>
        <v>8</v>
      </c>
      <c r="J33" s="222">
        <f t="shared" si="0"/>
        <v>9</v>
      </c>
      <c r="K33" s="222">
        <f t="shared" si="0"/>
        <v>10</v>
      </c>
      <c r="L33" s="222">
        <f t="shared" si="0"/>
        <v>11</v>
      </c>
      <c r="M33" s="222">
        <f t="shared" si="0"/>
        <v>12</v>
      </c>
      <c r="N33" s="222">
        <f t="shared" si="0"/>
        <v>13</v>
      </c>
      <c r="O33" s="222">
        <f t="shared" si="0"/>
        <v>14</v>
      </c>
    </row>
    <row r="34" spans="2:15" ht="11.25">
      <c r="B34" s="224">
        <v>7</v>
      </c>
      <c r="C34" s="225"/>
      <c r="D34" s="225"/>
      <c r="E34" s="225"/>
      <c r="F34" s="225"/>
      <c r="G34" s="226">
        <f>G35+G50</f>
        <v>10112496</v>
      </c>
      <c r="H34" s="226">
        <f aca="true" t="shared" si="1" ref="H34:O34">H35+H50</f>
        <v>0</v>
      </c>
      <c r="I34" s="226">
        <f t="shared" si="1"/>
        <v>0</v>
      </c>
      <c r="J34" s="226">
        <f t="shared" si="1"/>
        <v>10311506</v>
      </c>
      <c r="K34" s="226">
        <f t="shared" si="1"/>
        <v>0</v>
      </c>
      <c r="L34" s="226">
        <f t="shared" si="1"/>
        <v>0</v>
      </c>
      <c r="M34" s="226">
        <f t="shared" si="1"/>
        <v>10211036</v>
      </c>
      <c r="N34" s="226">
        <f t="shared" si="1"/>
        <v>0</v>
      </c>
      <c r="O34" s="226">
        <f t="shared" si="1"/>
        <v>0</v>
      </c>
    </row>
    <row r="35" spans="2:15" ht="11.25">
      <c r="B35" s="224">
        <v>7</v>
      </c>
      <c r="C35" s="224">
        <v>1</v>
      </c>
      <c r="D35" s="225"/>
      <c r="E35" s="225"/>
      <c r="F35" s="225"/>
      <c r="G35" s="226">
        <f>G36+G40+G42+G46+G48</f>
        <v>10101030</v>
      </c>
      <c r="H35" s="226">
        <f aca="true" t="shared" si="2" ref="H35:O35">H36+H40+H42+H46+H48</f>
        <v>0</v>
      </c>
      <c r="I35" s="226">
        <f t="shared" si="2"/>
        <v>0</v>
      </c>
      <c r="J35" s="226">
        <f t="shared" si="2"/>
        <v>10300040</v>
      </c>
      <c r="K35" s="226">
        <f t="shared" si="2"/>
        <v>0</v>
      </c>
      <c r="L35" s="226">
        <f t="shared" si="2"/>
        <v>0</v>
      </c>
      <c r="M35" s="226">
        <f t="shared" si="2"/>
        <v>10199570</v>
      </c>
      <c r="N35" s="226">
        <f t="shared" si="2"/>
        <v>0</v>
      </c>
      <c r="O35" s="226">
        <f t="shared" si="2"/>
        <v>0</v>
      </c>
    </row>
    <row r="36" spans="2:15" ht="11.25">
      <c r="B36" s="227">
        <v>7</v>
      </c>
      <c r="C36" s="227">
        <v>1</v>
      </c>
      <c r="D36" s="133" t="s">
        <v>184</v>
      </c>
      <c r="E36" s="228"/>
      <c r="F36" s="228"/>
      <c r="G36" s="229">
        <f>G37+G38+G39</f>
        <v>2191820</v>
      </c>
      <c r="H36" s="229">
        <f aca="true" t="shared" si="3" ref="H36:O36">H37+H38+H39</f>
        <v>0</v>
      </c>
      <c r="I36" s="229">
        <f t="shared" si="3"/>
        <v>0</v>
      </c>
      <c r="J36" s="229">
        <f t="shared" si="3"/>
        <v>2291800</v>
      </c>
      <c r="K36" s="229">
        <f t="shared" si="3"/>
        <v>0</v>
      </c>
      <c r="L36" s="229">
        <f t="shared" si="3"/>
        <v>0</v>
      </c>
      <c r="M36" s="229">
        <f t="shared" si="3"/>
        <v>1967140</v>
      </c>
      <c r="N36" s="229">
        <f t="shared" si="3"/>
        <v>0</v>
      </c>
      <c r="O36" s="229">
        <f t="shared" si="3"/>
        <v>0</v>
      </c>
    </row>
    <row r="37" spans="2:15" ht="11.25">
      <c r="B37" s="231">
        <v>7</v>
      </c>
      <c r="C37" s="231">
        <v>1</v>
      </c>
      <c r="D37" s="139" t="s">
        <v>184</v>
      </c>
      <c r="E37" s="232">
        <v>110</v>
      </c>
      <c r="F37" s="232">
        <v>210</v>
      </c>
      <c r="G37" s="233">
        <f>J69</f>
        <v>1116400</v>
      </c>
      <c r="H37" s="233">
        <f aca="true" t="shared" si="4" ref="H37:O37">K69</f>
        <v>0</v>
      </c>
      <c r="I37" s="233">
        <f t="shared" si="4"/>
        <v>0</v>
      </c>
      <c r="J37" s="233">
        <f t="shared" si="4"/>
        <v>1428100</v>
      </c>
      <c r="K37" s="233">
        <f t="shared" si="4"/>
        <v>0</v>
      </c>
      <c r="L37" s="233">
        <f t="shared" si="4"/>
        <v>0</v>
      </c>
      <c r="M37" s="233">
        <f t="shared" si="4"/>
        <v>1446100</v>
      </c>
      <c r="N37" s="233">
        <f t="shared" si="4"/>
        <v>0</v>
      </c>
      <c r="O37" s="233">
        <f t="shared" si="4"/>
        <v>0</v>
      </c>
    </row>
    <row r="38" spans="2:15" ht="11.25">
      <c r="B38" s="231">
        <v>7</v>
      </c>
      <c r="C38" s="231">
        <v>1</v>
      </c>
      <c r="D38" s="139" t="s">
        <v>184</v>
      </c>
      <c r="E38" s="232">
        <v>240</v>
      </c>
      <c r="F38" s="232">
        <v>220</v>
      </c>
      <c r="G38" s="233">
        <f>J73</f>
        <v>1036140</v>
      </c>
      <c r="H38" s="233">
        <f aca="true" t="shared" si="5" ref="H38:O38">K73</f>
        <v>0</v>
      </c>
      <c r="I38" s="233">
        <f t="shared" si="5"/>
        <v>0</v>
      </c>
      <c r="J38" s="233">
        <f t="shared" si="5"/>
        <v>863700</v>
      </c>
      <c r="K38" s="233">
        <f t="shared" si="5"/>
        <v>0</v>
      </c>
      <c r="L38" s="233">
        <f t="shared" si="5"/>
        <v>0</v>
      </c>
      <c r="M38" s="233">
        <f t="shared" si="5"/>
        <v>521040</v>
      </c>
      <c r="N38" s="233">
        <f t="shared" si="5"/>
        <v>0</v>
      </c>
      <c r="O38" s="233">
        <f t="shared" si="5"/>
        <v>0</v>
      </c>
    </row>
    <row r="39" spans="2:15" ht="11.25">
      <c r="B39" s="231">
        <v>7</v>
      </c>
      <c r="C39" s="231">
        <v>1</v>
      </c>
      <c r="D39" s="139" t="s">
        <v>184</v>
      </c>
      <c r="E39" s="232">
        <v>240</v>
      </c>
      <c r="F39" s="232">
        <v>300</v>
      </c>
      <c r="G39" s="233">
        <f>J84</f>
        <v>39280</v>
      </c>
      <c r="H39" s="233">
        <f aca="true" t="shared" si="6" ref="H39:O39">K84</f>
        <v>0</v>
      </c>
      <c r="I39" s="233">
        <f t="shared" si="6"/>
        <v>0</v>
      </c>
      <c r="J39" s="233">
        <f t="shared" si="6"/>
        <v>0</v>
      </c>
      <c r="K39" s="233">
        <f t="shared" si="6"/>
        <v>0</v>
      </c>
      <c r="L39" s="233">
        <f t="shared" si="6"/>
        <v>0</v>
      </c>
      <c r="M39" s="233">
        <f t="shared" si="6"/>
        <v>0</v>
      </c>
      <c r="N39" s="233">
        <f t="shared" si="6"/>
        <v>0</v>
      </c>
      <c r="O39" s="233">
        <f t="shared" si="6"/>
        <v>0</v>
      </c>
    </row>
    <row r="40" spans="2:15" ht="11.25">
      <c r="B40" s="132">
        <v>7</v>
      </c>
      <c r="C40" s="132">
        <v>1</v>
      </c>
      <c r="D40" s="133" t="s">
        <v>206</v>
      </c>
      <c r="E40" s="228"/>
      <c r="F40" s="228"/>
      <c r="G40" s="229">
        <f>G41</f>
        <v>1831850</v>
      </c>
      <c r="H40" s="229">
        <f aca="true" t="shared" si="7" ref="H40:O40">H41</f>
        <v>0</v>
      </c>
      <c r="I40" s="229">
        <f t="shared" si="7"/>
        <v>0</v>
      </c>
      <c r="J40" s="229">
        <f t="shared" si="7"/>
        <v>1903430</v>
      </c>
      <c r="K40" s="229">
        <f t="shared" si="7"/>
        <v>0</v>
      </c>
      <c r="L40" s="229">
        <f t="shared" si="7"/>
        <v>0</v>
      </c>
      <c r="M40" s="229">
        <f t="shared" si="7"/>
        <v>1995220</v>
      </c>
      <c r="N40" s="229">
        <f t="shared" si="7"/>
        <v>0</v>
      </c>
      <c r="O40" s="229">
        <f t="shared" si="7"/>
        <v>0</v>
      </c>
    </row>
    <row r="41" spans="2:15" ht="11.25">
      <c r="B41" s="138">
        <v>7</v>
      </c>
      <c r="C41" s="138">
        <v>1</v>
      </c>
      <c r="D41" s="139" t="s">
        <v>206</v>
      </c>
      <c r="E41" s="232">
        <v>240</v>
      </c>
      <c r="F41" s="232">
        <v>300</v>
      </c>
      <c r="G41" s="233">
        <f>J90</f>
        <v>1831850</v>
      </c>
      <c r="H41" s="233">
        <f aca="true" t="shared" si="8" ref="H41:O41">K90</f>
        <v>0</v>
      </c>
      <c r="I41" s="233">
        <f t="shared" si="8"/>
        <v>0</v>
      </c>
      <c r="J41" s="233">
        <f t="shared" si="8"/>
        <v>1903430</v>
      </c>
      <c r="K41" s="233">
        <f t="shared" si="8"/>
        <v>0</v>
      </c>
      <c r="L41" s="233">
        <f t="shared" si="8"/>
        <v>0</v>
      </c>
      <c r="M41" s="233">
        <f t="shared" si="8"/>
        <v>1995220</v>
      </c>
      <c r="N41" s="233">
        <f t="shared" si="8"/>
        <v>0</v>
      </c>
      <c r="O41" s="233">
        <f t="shared" si="8"/>
        <v>0</v>
      </c>
    </row>
    <row r="42" spans="2:15" ht="11.25">
      <c r="B42" s="132">
        <v>7</v>
      </c>
      <c r="C42" s="132">
        <v>1</v>
      </c>
      <c r="D42" s="133" t="s">
        <v>186</v>
      </c>
      <c r="E42" s="232"/>
      <c r="F42" s="232"/>
      <c r="G42" s="229">
        <f>G43+G44+G45</f>
        <v>6052650</v>
      </c>
      <c r="H42" s="229">
        <f aca="true" t="shared" si="9" ref="H42:O42">H43+H44+H45</f>
        <v>0</v>
      </c>
      <c r="I42" s="229">
        <f t="shared" si="9"/>
        <v>0</v>
      </c>
      <c r="J42" s="229">
        <f t="shared" si="9"/>
        <v>6104810</v>
      </c>
      <c r="K42" s="229">
        <f t="shared" si="9"/>
        <v>0</v>
      </c>
      <c r="L42" s="229">
        <f t="shared" si="9"/>
        <v>0</v>
      </c>
      <c r="M42" s="229">
        <f t="shared" si="9"/>
        <v>6237210</v>
      </c>
      <c r="N42" s="229">
        <f t="shared" si="9"/>
        <v>0</v>
      </c>
      <c r="O42" s="229">
        <f t="shared" si="9"/>
        <v>0</v>
      </c>
    </row>
    <row r="43" spans="2:15" ht="11.25">
      <c r="B43" s="138">
        <v>7</v>
      </c>
      <c r="C43" s="138">
        <v>1</v>
      </c>
      <c r="D43" s="139" t="s">
        <v>187</v>
      </c>
      <c r="E43" s="232">
        <v>110</v>
      </c>
      <c r="F43" s="232">
        <v>210</v>
      </c>
      <c r="G43" s="233">
        <f>J95</f>
        <v>4648530</v>
      </c>
      <c r="H43" s="233">
        <f aca="true" t="shared" si="10" ref="H43:O43">K95</f>
        <v>0</v>
      </c>
      <c r="I43" s="233">
        <f t="shared" si="10"/>
        <v>0</v>
      </c>
      <c r="J43" s="233">
        <f t="shared" si="10"/>
        <v>4648530</v>
      </c>
      <c r="K43" s="233">
        <f t="shared" si="10"/>
        <v>0</v>
      </c>
      <c r="L43" s="233">
        <f t="shared" si="10"/>
        <v>0</v>
      </c>
      <c r="M43" s="233">
        <f t="shared" si="10"/>
        <v>4702070</v>
      </c>
      <c r="N43" s="233">
        <f t="shared" si="10"/>
        <v>0</v>
      </c>
      <c r="O43" s="233">
        <f t="shared" si="10"/>
        <v>0</v>
      </c>
    </row>
    <row r="44" spans="2:15" ht="11.25">
      <c r="B44" s="138">
        <v>7</v>
      </c>
      <c r="C44" s="138">
        <v>1</v>
      </c>
      <c r="D44" s="139" t="s">
        <v>185</v>
      </c>
      <c r="E44" s="232">
        <v>110</v>
      </c>
      <c r="F44" s="232">
        <v>210</v>
      </c>
      <c r="G44" s="233">
        <f>J100</f>
        <v>1300200</v>
      </c>
      <c r="H44" s="233">
        <f aca="true" t="shared" si="11" ref="H44:O44">K100</f>
        <v>0</v>
      </c>
      <c r="I44" s="233">
        <f t="shared" si="11"/>
        <v>0</v>
      </c>
      <c r="J44" s="233">
        <f t="shared" si="11"/>
        <v>1300200</v>
      </c>
      <c r="K44" s="233">
        <f t="shared" si="11"/>
        <v>0</v>
      </c>
      <c r="L44" s="233">
        <f t="shared" si="11"/>
        <v>0</v>
      </c>
      <c r="M44" s="233">
        <f t="shared" si="11"/>
        <v>1314380</v>
      </c>
      <c r="N44" s="233">
        <f t="shared" si="11"/>
        <v>0</v>
      </c>
      <c r="O44" s="233">
        <f t="shared" si="11"/>
        <v>0</v>
      </c>
    </row>
    <row r="45" spans="2:15" ht="11.25">
      <c r="B45" s="138">
        <v>7</v>
      </c>
      <c r="C45" s="138">
        <v>1</v>
      </c>
      <c r="D45" s="139" t="s">
        <v>188</v>
      </c>
      <c r="E45" s="232">
        <v>240</v>
      </c>
      <c r="F45" s="232">
        <v>300</v>
      </c>
      <c r="G45" s="233">
        <f>J105</f>
        <v>103920</v>
      </c>
      <c r="H45" s="233">
        <f aca="true" t="shared" si="12" ref="H45:O45">K105</f>
        <v>0</v>
      </c>
      <c r="I45" s="233">
        <f t="shared" si="12"/>
        <v>0</v>
      </c>
      <c r="J45" s="233">
        <f t="shared" si="12"/>
        <v>156080</v>
      </c>
      <c r="K45" s="233">
        <f t="shared" si="12"/>
        <v>0</v>
      </c>
      <c r="L45" s="233">
        <f t="shared" si="12"/>
        <v>0</v>
      </c>
      <c r="M45" s="233">
        <f t="shared" si="12"/>
        <v>220760</v>
      </c>
      <c r="N45" s="233">
        <f t="shared" si="12"/>
        <v>0</v>
      </c>
      <c r="O45" s="233">
        <f t="shared" si="12"/>
        <v>0</v>
      </c>
    </row>
    <row r="46" spans="2:15" ht="11.25">
      <c r="B46" s="132">
        <v>7</v>
      </c>
      <c r="C46" s="132">
        <v>1</v>
      </c>
      <c r="D46" s="133" t="s">
        <v>178</v>
      </c>
      <c r="E46" s="134"/>
      <c r="F46" s="137"/>
      <c r="G46" s="228">
        <f>G47</f>
        <v>2610</v>
      </c>
      <c r="H46" s="228">
        <f aca="true" t="shared" si="13" ref="H46:O46">H47</f>
        <v>0</v>
      </c>
      <c r="I46" s="228">
        <f t="shared" si="13"/>
        <v>0</v>
      </c>
      <c r="J46" s="228">
        <f t="shared" si="13"/>
        <v>0</v>
      </c>
      <c r="K46" s="228">
        <f t="shared" si="13"/>
        <v>0</v>
      </c>
      <c r="L46" s="228">
        <f t="shared" si="13"/>
        <v>0</v>
      </c>
      <c r="M46" s="228">
        <f t="shared" si="13"/>
        <v>0</v>
      </c>
      <c r="N46" s="228">
        <f t="shared" si="13"/>
        <v>0</v>
      </c>
      <c r="O46" s="228">
        <f t="shared" si="13"/>
        <v>0</v>
      </c>
    </row>
    <row r="47" spans="2:15" ht="11.25">
      <c r="B47" s="138">
        <v>7</v>
      </c>
      <c r="C47" s="138">
        <v>1</v>
      </c>
      <c r="D47" s="139" t="s">
        <v>178</v>
      </c>
      <c r="E47" s="232">
        <v>850</v>
      </c>
      <c r="F47" s="232">
        <v>290</v>
      </c>
      <c r="G47" s="233">
        <f>J110</f>
        <v>2610</v>
      </c>
      <c r="H47" s="233">
        <f aca="true" t="shared" si="14" ref="H47:O47">K110</f>
        <v>0</v>
      </c>
      <c r="I47" s="233">
        <f t="shared" si="14"/>
        <v>0</v>
      </c>
      <c r="J47" s="233">
        <f t="shared" si="14"/>
        <v>0</v>
      </c>
      <c r="K47" s="233">
        <f t="shared" si="14"/>
        <v>0</v>
      </c>
      <c r="L47" s="233">
        <f t="shared" si="14"/>
        <v>0</v>
      </c>
      <c r="M47" s="233">
        <f t="shared" si="14"/>
        <v>0</v>
      </c>
      <c r="N47" s="233">
        <f t="shared" si="14"/>
        <v>0</v>
      </c>
      <c r="O47" s="233">
        <f t="shared" si="14"/>
        <v>0</v>
      </c>
    </row>
    <row r="48" spans="2:15" ht="11.25">
      <c r="B48" s="132">
        <v>7</v>
      </c>
      <c r="C48" s="132">
        <v>1</v>
      </c>
      <c r="D48" s="133" t="s">
        <v>179</v>
      </c>
      <c r="E48" s="134"/>
      <c r="F48" s="137"/>
      <c r="G48" s="228">
        <f>G49</f>
        <v>22100</v>
      </c>
      <c r="H48" s="228">
        <f aca="true" t="shared" si="15" ref="H48:O48">H49</f>
        <v>0</v>
      </c>
      <c r="I48" s="228">
        <f t="shared" si="15"/>
        <v>0</v>
      </c>
      <c r="J48" s="228">
        <f t="shared" si="15"/>
        <v>0</v>
      </c>
      <c r="K48" s="228">
        <f t="shared" si="15"/>
        <v>0</v>
      </c>
      <c r="L48" s="228">
        <f t="shared" si="15"/>
        <v>0</v>
      </c>
      <c r="M48" s="228">
        <f t="shared" si="15"/>
        <v>0</v>
      </c>
      <c r="N48" s="228">
        <f t="shared" si="15"/>
        <v>0</v>
      </c>
      <c r="O48" s="228">
        <f t="shared" si="15"/>
        <v>0</v>
      </c>
    </row>
    <row r="49" spans="2:15" ht="11.25">
      <c r="B49" s="138">
        <v>7</v>
      </c>
      <c r="C49" s="138">
        <v>1</v>
      </c>
      <c r="D49" s="139" t="s">
        <v>179</v>
      </c>
      <c r="E49" s="11">
        <v>240</v>
      </c>
      <c r="F49" s="9">
        <v>220</v>
      </c>
      <c r="G49" s="233">
        <f>J113</f>
        <v>22100</v>
      </c>
      <c r="H49" s="233">
        <f aca="true" t="shared" si="16" ref="H49:O49">K113</f>
        <v>0</v>
      </c>
      <c r="I49" s="233">
        <f t="shared" si="16"/>
        <v>0</v>
      </c>
      <c r="J49" s="233">
        <f t="shared" si="16"/>
        <v>0</v>
      </c>
      <c r="K49" s="233">
        <f t="shared" si="16"/>
        <v>0</v>
      </c>
      <c r="L49" s="233">
        <f t="shared" si="16"/>
        <v>0</v>
      </c>
      <c r="M49" s="233">
        <f t="shared" si="16"/>
        <v>0</v>
      </c>
      <c r="N49" s="233">
        <f t="shared" si="16"/>
        <v>0</v>
      </c>
      <c r="O49" s="233">
        <f t="shared" si="16"/>
        <v>0</v>
      </c>
    </row>
    <row r="50" spans="2:15" ht="11.25">
      <c r="B50" s="122">
        <v>7</v>
      </c>
      <c r="C50" s="122">
        <v>3</v>
      </c>
      <c r="D50" s="225"/>
      <c r="E50" s="225"/>
      <c r="F50" s="225"/>
      <c r="G50" s="226">
        <f>G51</f>
        <v>11466</v>
      </c>
      <c r="H50" s="226">
        <f aca="true" t="shared" si="17" ref="H50:O50">H51</f>
        <v>0</v>
      </c>
      <c r="I50" s="226">
        <f t="shared" si="17"/>
        <v>0</v>
      </c>
      <c r="J50" s="226">
        <f t="shared" si="17"/>
        <v>11466</v>
      </c>
      <c r="K50" s="226">
        <f t="shared" si="17"/>
        <v>0</v>
      </c>
      <c r="L50" s="226">
        <f t="shared" si="17"/>
        <v>0</v>
      </c>
      <c r="M50" s="226">
        <f t="shared" si="17"/>
        <v>11466</v>
      </c>
      <c r="N50" s="226">
        <f t="shared" si="17"/>
        <v>0</v>
      </c>
      <c r="O50" s="226">
        <f t="shared" si="17"/>
        <v>0</v>
      </c>
    </row>
    <row r="51" spans="2:15" ht="11.25">
      <c r="B51" s="132">
        <v>7</v>
      </c>
      <c r="C51" s="132">
        <v>3</v>
      </c>
      <c r="D51" s="133" t="s">
        <v>221</v>
      </c>
      <c r="E51" s="134"/>
      <c r="F51" s="137"/>
      <c r="G51" s="229">
        <f>G52+G53</f>
        <v>11466</v>
      </c>
      <c r="H51" s="229">
        <f aca="true" t="shared" si="18" ref="H51:O51">H52+H53</f>
        <v>0</v>
      </c>
      <c r="I51" s="229">
        <f t="shared" si="18"/>
        <v>0</v>
      </c>
      <c r="J51" s="229">
        <f t="shared" si="18"/>
        <v>11466</v>
      </c>
      <c r="K51" s="229">
        <f t="shared" si="18"/>
        <v>0</v>
      </c>
      <c r="L51" s="229">
        <f t="shared" si="18"/>
        <v>0</v>
      </c>
      <c r="M51" s="229">
        <f t="shared" si="18"/>
        <v>11466</v>
      </c>
      <c r="N51" s="229">
        <f t="shared" si="18"/>
        <v>0</v>
      </c>
      <c r="O51" s="229">
        <f t="shared" si="18"/>
        <v>0</v>
      </c>
    </row>
    <row r="52" spans="2:15" ht="11.25">
      <c r="B52" s="138">
        <v>7</v>
      </c>
      <c r="C52" s="138">
        <v>3</v>
      </c>
      <c r="D52" s="139" t="s">
        <v>221</v>
      </c>
      <c r="E52" s="11">
        <v>240</v>
      </c>
      <c r="F52" s="9">
        <v>220</v>
      </c>
      <c r="G52" s="233">
        <f>J122</f>
        <v>10176</v>
      </c>
      <c r="H52" s="233">
        <f aca="true" t="shared" si="19" ref="H52:O52">K122</f>
        <v>0</v>
      </c>
      <c r="I52" s="233">
        <f t="shared" si="19"/>
        <v>0</v>
      </c>
      <c r="J52" s="233">
        <f t="shared" si="19"/>
        <v>10176</v>
      </c>
      <c r="K52" s="233">
        <f t="shared" si="19"/>
        <v>0</v>
      </c>
      <c r="L52" s="233">
        <f t="shared" si="19"/>
        <v>0</v>
      </c>
      <c r="M52" s="233">
        <f t="shared" si="19"/>
        <v>10176</v>
      </c>
      <c r="N52" s="233">
        <f t="shared" si="19"/>
        <v>0</v>
      </c>
      <c r="O52" s="233">
        <f t="shared" si="19"/>
        <v>0</v>
      </c>
    </row>
    <row r="53" spans="2:15" ht="11.25">
      <c r="B53" s="138">
        <v>7</v>
      </c>
      <c r="C53" s="138">
        <v>3</v>
      </c>
      <c r="D53" s="139" t="s">
        <v>221</v>
      </c>
      <c r="E53" s="234">
        <v>240</v>
      </c>
      <c r="F53" s="234">
        <v>300</v>
      </c>
      <c r="G53" s="233">
        <f>J124</f>
        <v>1290</v>
      </c>
      <c r="H53" s="233">
        <f aca="true" t="shared" si="20" ref="H53:O53">K124</f>
        <v>0</v>
      </c>
      <c r="I53" s="233">
        <f t="shared" si="20"/>
        <v>0</v>
      </c>
      <c r="J53" s="233">
        <f t="shared" si="20"/>
        <v>1290</v>
      </c>
      <c r="K53" s="233">
        <f t="shared" si="20"/>
        <v>0</v>
      </c>
      <c r="L53" s="233">
        <f t="shared" si="20"/>
        <v>0</v>
      </c>
      <c r="M53" s="233">
        <f t="shared" si="20"/>
        <v>1290</v>
      </c>
      <c r="N53" s="233">
        <f t="shared" si="20"/>
        <v>0</v>
      </c>
      <c r="O53" s="233">
        <f t="shared" si="20"/>
        <v>0</v>
      </c>
    </row>
    <row r="54" spans="4:15" ht="11.25">
      <c r="D54" s="206" t="s">
        <v>284</v>
      </c>
      <c r="F54" s="235"/>
      <c r="G54" s="236">
        <f>G34</f>
        <v>10112496</v>
      </c>
      <c r="H54" s="237" t="s">
        <v>285</v>
      </c>
      <c r="I54" s="237" t="s">
        <v>285</v>
      </c>
      <c r="J54" s="236">
        <f>J34</f>
        <v>10311506</v>
      </c>
      <c r="K54" s="237" t="s">
        <v>285</v>
      </c>
      <c r="L54" s="237" t="s">
        <v>285</v>
      </c>
      <c r="M54" s="236">
        <f>M34</f>
        <v>10211036</v>
      </c>
      <c r="N54" s="237" t="s">
        <v>285</v>
      </c>
      <c r="O54" s="237" t="s">
        <v>285</v>
      </c>
    </row>
    <row r="55" spans="6:15" ht="11.25">
      <c r="F55" s="206" t="s">
        <v>286</v>
      </c>
      <c r="G55" s="236">
        <f>G54</f>
        <v>10112496</v>
      </c>
      <c r="H55" s="237" t="s">
        <v>285</v>
      </c>
      <c r="I55" s="237" t="s">
        <v>285</v>
      </c>
      <c r="J55" s="236">
        <f>J54</f>
        <v>10311506</v>
      </c>
      <c r="K55" s="237" t="s">
        <v>285</v>
      </c>
      <c r="L55" s="237" t="s">
        <v>285</v>
      </c>
      <c r="M55" s="236">
        <f>M54</f>
        <v>10211036</v>
      </c>
      <c r="N55" s="237" t="s">
        <v>285</v>
      </c>
      <c r="O55" s="237" t="s">
        <v>285</v>
      </c>
    </row>
    <row r="56" spans="7:13" ht="11.25">
      <c r="G56" s="238"/>
      <c r="J56" s="238"/>
      <c r="M56" s="238"/>
    </row>
    <row r="58" spans="1:18" ht="11.25">
      <c r="A58" s="294" t="s">
        <v>287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</row>
    <row r="60" spans="1:18" ht="22.5" customHeight="1">
      <c r="A60" s="295" t="s">
        <v>21</v>
      </c>
      <c r="B60" s="296"/>
      <c r="C60" s="297"/>
      <c r="D60" s="304" t="s">
        <v>22</v>
      </c>
      <c r="E60" s="291" t="s">
        <v>272</v>
      </c>
      <c r="F60" s="292"/>
      <c r="G60" s="292"/>
      <c r="H60" s="293"/>
      <c r="I60" s="285" t="s">
        <v>273</v>
      </c>
      <c r="J60" s="308" t="s">
        <v>274</v>
      </c>
      <c r="K60" s="308"/>
      <c r="L60" s="308"/>
      <c r="M60" s="308"/>
      <c r="N60" s="308"/>
      <c r="O60" s="308"/>
      <c r="P60" s="308"/>
      <c r="Q60" s="308"/>
      <c r="R60" s="308"/>
    </row>
    <row r="61" spans="1:18" ht="23.25" customHeight="1">
      <c r="A61" s="298"/>
      <c r="B61" s="299"/>
      <c r="C61" s="300"/>
      <c r="D61" s="305"/>
      <c r="E61" s="285" t="s">
        <v>275</v>
      </c>
      <c r="F61" s="285" t="s">
        <v>276</v>
      </c>
      <c r="G61" s="285" t="s">
        <v>277</v>
      </c>
      <c r="H61" s="285" t="s">
        <v>278</v>
      </c>
      <c r="I61" s="307"/>
      <c r="J61" s="287" t="s">
        <v>279</v>
      </c>
      <c r="K61" s="287"/>
      <c r="L61" s="287"/>
      <c r="M61" s="287" t="s">
        <v>280</v>
      </c>
      <c r="N61" s="287"/>
      <c r="O61" s="287"/>
      <c r="P61" s="287" t="s">
        <v>281</v>
      </c>
      <c r="Q61" s="287"/>
      <c r="R61" s="287"/>
    </row>
    <row r="62" spans="1:18" ht="75" customHeight="1">
      <c r="A62" s="301"/>
      <c r="B62" s="302"/>
      <c r="C62" s="303"/>
      <c r="D62" s="306"/>
      <c r="E62" s="286"/>
      <c r="F62" s="286"/>
      <c r="G62" s="286"/>
      <c r="H62" s="286"/>
      <c r="I62" s="286"/>
      <c r="J62" s="223" t="s">
        <v>282</v>
      </c>
      <c r="K62" s="223" t="s">
        <v>31</v>
      </c>
      <c r="L62" s="223" t="s">
        <v>283</v>
      </c>
      <c r="M62" s="223" t="s">
        <v>282</v>
      </c>
      <c r="N62" s="223" t="s">
        <v>31</v>
      </c>
      <c r="O62" s="223" t="s">
        <v>283</v>
      </c>
      <c r="P62" s="223" t="s">
        <v>282</v>
      </c>
      <c r="Q62" s="223" t="s">
        <v>31</v>
      </c>
      <c r="R62" s="223" t="s">
        <v>283</v>
      </c>
    </row>
    <row r="63" spans="1:18" ht="11.25">
      <c r="A63" s="288">
        <v>1</v>
      </c>
      <c r="B63" s="289"/>
      <c r="C63" s="290"/>
      <c r="D63" s="222">
        <f>A63+1</f>
        <v>2</v>
      </c>
      <c r="E63" s="222">
        <f>D63+1</f>
        <v>3</v>
      </c>
      <c r="F63" s="222">
        <f aca="true" t="shared" si="21" ref="F63:R63">E63+1</f>
        <v>4</v>
      </c>
      <c r="G63" s="222">
        <f t="shared" si="21"/>
        <v>5</v>
      </c>
      <c r="H63" s="222">
        <f t="shared" si="21"/>
        <v>6</v>
      </c>
      <c r="I63" s="222">
        <f t="shared" si="21"/>
        <v>7</v>
      </c>
      <c r="J63" s="222">
        <f t="shared" si="21"/>
        <v>8</v>
      </c>
      <c r="K63" s="222">
        <f t="shared" si="21"/>
        <v>9</v>
      </c>
      <c r="L63" s="222">
        <f t="shared" si="21"/>
        <v>10</v>
      </c>
      <c r="M63" s="222">
        <f t="shared" si="21"/>
        <v>11</v>
      </c>
      <c r="N63" s="222">
        <f t="shared" si="21"/>
        <v>12</v>
      </c>
      <c r="O63" s="222">
        <f t="shared" si="21"/>
        <v>13</v>
      </c>
      <c r="P63" s="222">
        <f t="shared" si="21"/>
        <v>14</v>
      </c>
      <c r="Q63" s="222">
        <f t="shared" si="21"/>
        <v>15</v>
      </c>
      <c r="R63" s="222">
        <f t="shared" si="21"/>
        <v>16</v>
      </c>
    </row>
    <row r="64" spans="1:18" ht="12.75" customHeight="1">
      <c r="A64" s="282" t="s">
        <v>203</v>
      </c>
      <c r="B64" s="283"/>
      <c r="C64" s="284"/>
      <c r="D64" s="28">
        <v>1</v>
      </c>
      <c r="E64" s="28">
        <v>7</v>
      </c>
      <c r="F64" s="37"/>
      <c r="G64" s="29"/>
      <c r="H64" s="29"/>
      <c r="I64" s="29"/>
      <c r="J64" s="239">
        <f>J65+J117</f>
        <v>10112496</v>
      </c>
      <c r="K64" s="239">
        <f aca="true" t="shared" si="22" ref="K64:R64">K65+K117</f>
        <v>0</v>
      </c>
      <c r="L64" s="239">
        <f t="shared" si="22"/>
        <v>0</v>
      </c>
      <c r="M64" s="239">
        <f t="shared" si="22"/>
        <v>10311506</v>
      </c>
      <c r="N64" s="239">
        <f t="shared" si="22"/>
        <v>0</v>
      </c>
      <c r="O64" s="239">
        <f t="shared" si="22"/>
        <v>0</v>
      </c>
      <c r="P64" s="239">
        <f t="shared" si="22"/>
        <v>10211036</v>
      </c>
      <c r="Q64" s="239">
        <f t="shared" si="22"/>
        <v>0</v>
      </c>
      <c r="R64" s="239">
        <f t="shared" si="22"/>
        <v>0</v>
      </c>
    </row>
    <row r="65" spans="1:18" ht="12.75" customHeight="1">
      <c r="A65" s="282" t="s">
        <v>121</v>
      </c>
      <c r="B65" s="283"/>
      <c r="C65" s="284"/>
      <c r="D65" s="28">
        <f aca="true" t="shared" si="23" ref="D65:D127">D64+1</f>
        <v>2</v>
      </c>
      <c r="E65" s="28">
        <v>7</v>
      </c>
      <c r="F65" s="37">
        <v>1</v>
      </c>
      <c r="G65" s="29"/>
      <c r="H65" s="29"/>
      <c r="I65" s="29"/>
      <c r="J65" s="240">
        <f>J66</f>
        <v>10101030</v>
      </c>
      <c r="K65" s="240">
        <f aca="true" t="shared" si="24" ref="K65:R66">K66</f>
        <v>0</v>
      </c>
      <c r="L65" s="240">
        <f t="shared" si="24"/>
        <v>0</v>
      </c>
      <c r="M65" s="240">
        <f t="shared" si="24"/>
        <v>10300040</v>
      </c>
      <c r="N65" s="240">
        <f t="shared" si="24"/>
        <v>0</v>
      </c>
      <c r="O65" s="240">
        <f t="shared" si="24"/>
        <v>0</v>
      </c>
      <c r="P65" s="240">
        <f t="shared" si="24"/>
        <v>10199570</v>
      </c>
      <c r="Q65" s="240">
        <f t="shared" si="24"/>
        <v>0</v>
      </c>
      <c r="R65" s="240">
        <f t="shared" si="24"/>
        <v>0</v>
      </c>
    </row>
    <row r="66" spans="1:18" ht="39.75" customHeight="1">
      <c r="A66" s="273" t="s">
        <v>180</v>
      </c>
      <c r="B66" s="274"/>
      <c r="C66" s="275"/>
      <c r="D66" s="241">
        <f t="shared" si="23"/>
        <v>3</v>
      </c>
      <c r="E66" s="241">
        <v>7</v>
      </c>
      <c r="F66" s="241">
        <v>1</v>
      </c>
      <c r="G66" s="242" t="s">
        <v>181</v>
      </c>
      <c r="H66" s="243"/>
      <c r="I66" s="244"/>
      <c r="J66" s="245">
        <f>J67</f>
        <v>10101030</v>
      </c>
      <c r="K66" s="245">
        <f t="shared" si="24"/>
        <v>0</v>
      </c>
      <c r="L66" s="245">
        <f t="shared" si="24"/>
        <v>0</v>
      </c>
      <c r="M66" s="245">
        <f t="shared" si="24"/>
        <v>10300040</v>
      </c>
      <c r="N66" s="245">
        <f t="shared" si="24"/>
        <v>0</v>
      </c>
      <c r="O66" s="245">
        <f t="shared" si="24"/>
        <v>0</v>
      </c>
      <c r="P66" s="245">
        <f t="shared" si="24"/>
        <v>10199570</v>
      </c>
      <c r="Q66" s="245">
        <f t="shared" si="24"/>
        <v>0</v>
      </c>
      <c r="R66" s="245">
        <f t="shared" si="24"/>
        <v>0</v>
      </c>
    </row>
    <row r="67" spans="1:18" ht="47.25" customHeight="1">
      <c r="A67" s="276" t="s">
        <v>182</v>
      </c>
      <c r="B67" s="277"/>
      <c r="C67" s="278"/>
      <c r="D67" s="122">
        <f t="shared" si="23"/>
        <v>4</v>
      </c>
      <c r="E67" s="122">
        <v>7</v>
      </c>
      <c r="F67" s="122">
        <v>1</v>
      </c>
      <c r="G67" s="123" t="s">
        <v>183</v>
      </c>
      <c r="H67" s="11"/>
      <c r="I67" s="10"/>
      <c r="J67" s="246">
        <f>J68+J90+J94+J109+J113</f>
        <v>10101030</v>
      </c>
      <c r="K67" s="246">
        <f aca="true" t="shared" si="25" ref="K67:R67">K68+K90+K94+K109+K113</f>
        <v>0</v>
      </c>
      <c r="L67" s="246">
        <f t="shared" si="25"/>
        <v>0</v>
      </c>
      <c r="M67" s="246">
        <f t="shared" si="25"/>
        <v>10300040</v>
      </c>
      <c r="N67" s="246">
        <f t="shared" si="25"/>
        <v>0</v>
      </c>
      <c r="O67" s="246">
        <f t="shared" si="25"/>
        <v>0</v>
      </c>
      <c r="P67" s="246">
        <f>P68+P90+P94+P109+P113</f>
        <v>10199570</v>
      </c>
      <c r="Q67" s="246">
        <f t="shared" si="25"/>
        <v>0</v>
      </c>
      <c r="R67" s="246">
        <f t="shared" si="25"/>
        <v>0</v>
      </c>
    </row>
    <row r="68" spans="1:18" ht="45" customHeight="1">
      <c r="A68" s="230" t="s">
        <v>97</v>
      </c>
      <c r="B68" s="195"/>
      <c r="C68" s="196"/>
      <c r="D68" s="132">
        <f t="shared" si="23"/>
        <v>5</v>
      </c>
      <c r="E68" s="132">
        <v>7</v>
      </c>
      <c r="F68" s="132">
        <v>1</v>
      </c>
      <c r="G68" s="133" t="s">
        <v>184</v>
      </c>
      <c r="H68" s="11"/>
      <c r="I68" s="10"/>
      <c r="J68" s="247">
        <f>J69+J73+J84</f>
        <v>2191820</v>
      </c>
      <c r="K68" s="247">
        <f aca="true" t="shared" si="26" ref="K68:R68">K69+K73+K84</f>
        <v>0</v>
      </c>
      <c r="L68" s="247">
        <f t="shared" si="26"/>
        <v>0</v>
      </c>
      <c r="M68" s="247">
        <f t="shared" si="26"/>
        <v>2291800</v>
      </c>
      <c r="N68" s="247">
        <f t="shared" si="26"/>
        <v>0</v>
      </c>
      <c r="O68" s="247">
        <f t="shared" si="26"/>
        <v>0</v>
      </c>
      <c r="P68" s="247">
        <f>P69+P73+P84</f>
        <v>1967140</v>
      </c>
      <c r="Q68" s="247">
        <f t="shared" si="26"/>
        <v>0</v>
      </c>
      <c r="R68" s="247">
        <f t="shared" si="26"/>
        <v>0</v>
      </c>
    </row>
    <row r="69" spans="1:18" ht="22.5" customHeight="1">
      <c r="A69" s="276" t="s">
        <v>32</v>
      </c>
      <c r="B69" s="277"/>
      <c r="C69" s="278"/>
      <c r="D69" s="122">
        <f t="shared" si="23"/>
        <v>6</v>
      </c>
      <c r="E69" s="122">
        <v>7</v>
      </c>
      <c r="F69" s="122">
        <v>1</v>
      </c>
      <c r="G69" s="133" t="s">
        <v>184</v>
      </c>
      <c r="H69" s="128">
        <v>110</v>
      </c>
      <c r="I69" s="30">
        <v>210</v>
      </c>
      <c r="J69" s="246">
        <f>J70+J71+J72</f>
        <v>1116400</v>
      </c>
      <c r="K69" s="246">
        <f aca="true" t="shared" si="27" ref="K69:R69">K70+K71+K72</f>
        <v>0</v>
      </c>
      <c r="L69" s="246">
        <f t="shared" si="27"/>
        <v>0</v>
      </c>
      <c r="M69" s="246">
        <f t="shared" si="27"/>
        <v>1428100</v>
      </c>
      <c r="N69" s="246">
        <f t="shared" si="27"/>
        <v>0</v>
      </c>
      <c r="O69" s="246">
        <f t="shared" si="27"/>
        <v>0</v>
      </c>
      <c r="P69" s="246">
        <f t="shared" si="27"/>
        <v>1446100</v>
      </c>
      <c r="Q69" s="246">
        <f t="shared" si="27"/>
        <v>0</v>
      </c>
      <c r="R69" s="246">
        <f t="shared" si="27"/>
        <v>0</v>
      </c>
    </row>
    <row r="70" spans="1:18" ht="11.25">
      <c r="A70" s="270" t="s">
        <v>33</v>
      </c>
      <c r="B70" s="271"/>
      <c r="C70" s="272"/>
      <c r="D70" s="138">
        <f t="shared" si="23"/>
        <v>7</v>
      </c>
      <c r="E70" s="138">
        <v>7</v>
      </c>
      <c r="F70" s="138">
        <v>1</v>
      </c>
      <c r="G70" s="139" t="s">
        <v>184</v>
      </c>
      <c r="H70" s="11">
        <v>111</v>
      </c>
      <c r="I70" s="10">
        <v>211</v>
      </c>
      <c r="J70" s="258">
        <f>'расчеты м 2019'!D14</f>
        <v>856100</v>
      </c>
      <c r="K70" s="248"/>
      <c r="L70" s="248"/>
      <c r="M70" s="258">
        <f>'расчеты м 2020'!D14</f>
        <v>1096900</v>
      </c>
      <c r="N70" s="248"/>
      <c r="O70" s="248"/>
      <c r="P70" s="248">
        <f>'расчеты м 2021'!D14</f>
        <v>1110700</v>
      </c>
      <c r="Q70" s="248"/>
      <c r="R70" s="248"/>
    </row>
    <row r="71" spans="1:18" ht="11.25">
      <c r="A71" s="203" t="s">
        <v>35</v>
      </c>
      <c r="B71" s="204"/>
      <c r="C71" s="205"/>
      <c r="D71" s="138">
        <f t="shared" si="23"/>
        <v>8</v>
      </c>
      <c r="E71" s="138">
        <v>7</v>
      </c>
      <c r="F71" s="138">
        <v>1</v>
      </c>
      <c r="G71" s="139" t="s">
        <v>184</v>
      </c>
      <c r="H71" s="11">
        <v>112</v>
      </c>
      <c r="I71" s="10">
        <v>212</v>
      </c>
      <c r="J71" s="258">
        <f>'расчеты м 2019'!G27</f>
        <v>1800</v>
      </c>
      <c r="K71" s="248"/>
      <c r="L71" s="248"/>
      <c r="M71" s="248"/>
      <c r="N71" s="248"/>
      <c r="O71" s="248"/>
      <c r="P71" s="248"/>
      <c r="Q71" s="248"/>
      <c r="R71" s="248"/>
    </row>
    <row r="72" spans="1:18" ht="21" customHeight="1">
      <c r="A72" s="270" t="s">
        <v>34</v>
      </c>
      <c r="B72" s="271"/>
      <c r="C72" s="272"/>
      <c r="D72" s="138">
        <f t="shared" si="23"/>
        <v>9</v>
      </c>
      <c r="E72" s="138">
        <v>7</v>
      </c>
      <c r="F72" s="138">
        <v>1</v>
      </c>
      <c r="G72" s="139" t="s">
        <v>184</v>
      </c>
      <c r="H72" s="11">
        <v>119</v>
      </c>
      <c r="I72" s="9">
        <v>213</v>
      </c>
      <c r="J72" s="258">
        <f>'расчеты м 2019'!D33</f>
        <v>258500</v>
      </c>
      <c r="K72" s="248"/>
      <c r="L72" s="248"/>
      <c r="M72" s="258">
        <f>'расчеты м 2020'!D33</f>
        <v>331200</v>
      </c>
      <c r="N72" s="248"/>
      <c r="O72" s="248"/>
      <c r="P72" s="248">
        <f>'расчеты м 2021'!D33</f>
        <v>335400</v>
      </c>
      <c r="Q72" s="248"/>
      <c r="R72" s="248"/>
    </row>
    <row r="73" spans="1:18" ht="11.25">
      <c r="A73" s="197" t="s">
        <v>36</v>
      </c>
      <c r="B73" s="198"/>
      <c r="C73" s="199"/>
      <c r="D73" s="122">
        <f t="shared" si="23"/>
        <v>10</v>
      </c>
      <c r="E73" s="122">
        <v>7</v>
      </c>
      <c r="F73" s="122">
        <v>1</v>
      </c>
      <c r="G73" s="133" t="s">
        <v>184</v>
      </c>
      <c r="H73" s="128">
        <v>240</v>
      </c>
      <c r="I73" s="149">
        <v>220</v>
      </c>
      <c r="J73" s="246">
        <f>J74+J75+J76+J82+J83</f>
        <v>1036140</v>
      </c>
      <c r="K73" s="246">
        <f aca="true" t="shared" si="28" ref="K73:R73">K74+K75+K76+K82+K83</f>
        <v>0</v>
      </c>
      <c r="L73" s="246">
        <f t="shared" si="28"/>
        <v>0</v>
      </c>
      <c r="M73" s="246">
        <f t="shared" si="28"/>
        <v>863700</v>
      </c>
      <c r="N73" s="246">
        <f t="shared" si="28"/>
        <v>0</v>
      </c>
      <c r="O73" s="246">
        <f t="shared" si="28"/>
        <v>0</v>
      </c>
      <c r="P73" s="246">
        <f t="shared" si="28"/>
        <v>521040</v>
      </c>
      <c r="Q73" s="246">
        <f t="shared" si="28"/>
        <v>0</v>
      </c>
      <c r="R73" s="246">
        <f t="shared" si="28"/>
        <v>0</v>
      </c>
    </row>
    <row r="74" spans="1:18" ht="11.25">
      <c r="A74" s="203" t="s">
        <v>38</v>
      </c>
      <c r="B74" s="204"/>
      <c r="C74" s="205"/>
      <c r="D74" s="138">
        <f t="shared" si="23"/>
        <v>11</v>
      </c>
      <c r="E74" s="138">
        <v>7</v>
      </c>
      <c r="F74" s="138">
        <v>1</v>
      </c>
      <c r="G74" s="139" t="s">
        <v>184</v>
      </c>
      <c r="H74" s="11">
        <v>244</v>
      </c>
      <c r="I74" s="9">
        <v>221</v>
      </c>
      <c r="J74" s="258">
        <f>'расчеты м 2019'!G49</f>
        <v>12650</v>
      </c>
      <c r="K74" s="248"/>
      <c r="L74" s="248"/>
      <c r="M74" s="248"/>
      <c r="N74" s="248"/>
      <c r="O74" s="248"/>
      <c r="P74" s="248"/>
      <c r="Q74" s="248"/>
      <c r="R74" s="248"/>
    </row>
    <row r="75" spans="1:18" ht="11.25">
      <c r="A75" s="203" t="s">
        <v>37</v>
      </c>
      <c r="B75" s="204"/>
      <c r="C75" s="205"/>
      <c r="D75" s="138">
        <f t="shared" si="23"/>
        <v>12</v>
      </c>
      <c r="E75" s="138">
        <v>7</v>
      </c>
      <c r="F75" s="138">
        <v>1</v>
      </c>
      <c r="G75" s="139" t="s">
        <v>184</v>
      </c>
      <c r="H75" s="11">
        <v>242</v>
      </c>
      <c r="I75" s="9">
        <v>222</v>
      </c>
      <c r="J75" s="248"/>
      <c r="K75" s="248"/>
      <c r="L75" s="248"/>
      <c r="M75" s="248"/>
      <c r="N75" s="248"/>
      <c r="O75" s="248"/>
      <c r="P75" s="248"/>
      <c r="Q75" s="248"/>
      <c r="R75" s="248"/>
    </row>
    <row r="76" spans="1:18" ht="11.25">
      <c r="A76" s="203" t="s">
        <v>39</v>
      </c>
      <c r="B76" s="204"/>
      <c r="C76" s="205"/>
      <c r="D76" s="138">
        <f t="shared" si="23"/>
        <v>13</v>
      </c>
      <c r="E76" s="138">
        <v>7</v>
      </c>
      <c r="F76" s="138">
        <v>1</v>
      </c>
      <c r="G76" s="139" t="s">
        <v>184</v>
      </c>
      <c r="H76" s="11">
        <v>244</v>
      </c>
      <c r="I76" s="9">
        <v>223</v>
      </c>
      <c r="J76" s="248">
        <f>J77+J78+J79+J80+J81</f>
        <v>938450</v>
      </c>
      <c r="K76" s="248">
        <f aca="true" t="shared" si="29" ref="K76:R76">K77+K78+K79+K80+K81</f>
        <v>0</v>
      </c>
      <c r="L76" s="248">
        <f t="shared" si="29"/>
        <v>0</v>
      </c>
      <c r="M76" s="248">
        <f t="shared" si="29"/>
        <v>863700</v>
      </c>
      <c r="N76" s="248">
        <f t="shared" si="29"/>
        <v>0</v>
      </c>
      <c r="O76" s="248">
        <f t="shared" si="29"/>
        <v>0</v>
      </c>
      <c r="P76" s="248">
        <f t="shared" si="29"/>
        <v>521040</v>
      </c>
      <c r="Q76" s="248">
        <f t="shared" si="29"/>
        <v>0</v>
      </c>
      <c r="R76" s="248">
        <f t="shared" si="29"/>
        <v>0</v>
      </c>
    </row>
    <row r="77" spans="1:18" ht="11.25">
      <c r="A77" s="279" t="s">
        <v>40</v>
      </c>
      <c r="B77" s="280"/>
      <c r="C77" s="281"/>
      <c r="D77" s="138">
        <f t="shared" si="23"/>
        <v>14</v>
      </c>
      <c r="E77" s="138">
        <v>7</v>
      </c>
      <c r="F77" s="138">
        <v>1</v>
      </c>
      <c r="G77" s="139" t="s">
        <v>184</v>
      </c>
      <c r="H77" s="11">
        <v>244</v>
      </c>
      <c r="I77" s="9">
        <v>223</v>
      </c>
      <c r="J77" s="249"/>
      <c r="K77" s="249"/>
      <c r="L77" s="249"/>
      <c r="M77" s="249"/>
      <c r="N77" s="249"/>
      <c r="O77" s="249"/>
      <c r="P77" s="249"/>
      <c r="Q77" s="249"/>
      <c r="R77" s="249"/>
    </row>
    <row r="78" spans="1:18" ht="11.25">
      <c r="A78" s="279" t="s">
        <v>42</v>
      </c>
      <c r="B78" s="280"/>
      <c r="C78" s="281"/>
      <c r="D78" s="138">
        <f t="shared" si="23"/>
        <v>15</v>
      </c>
      <c r="E78" s="138">
        <v>7</v>
      </c>
      <c r="F78" s="138">
        <v>1</v>
      </c>
      <c r="G78" s="139" t="s">
        <v>184</v>
      </c>
      <c r="H78" s="11">
        <v>244</v>
      </c>
      <c r="I78" s="9">
        <v>223</v>
      </c>
      <c r="J78" s="259">
        <f>'расчеты м 2019'!G56</f>
        <v>521310</v>
      </c>
      <c r="K78" s="249"/>
      <c r="L78" s="249"/>
      <c r="M78" s="261">
        <f>'расчеты м 2020'!G56</f>
        <v>521350</v>
      </c>
      <c r="N78" s="249"/>
      <c r="O78" s="249"/>
      <c r="P78" s="249">
        <f>'расчеты м 2021'!G56</f>
        <v>521040</v>
      </c>
      <c r="Q78" s="249"/>
      <c r="R78" s="249"/>
    </row>
    <row r="79" spans="1:18" ht="11.25">
      <c r="A79" s="279" t="s">
        <v>44</v>
      </c>
      <c r="B79" s="280"/>
      <c r="C79" s="281"/>
      <c r="D79" s="138">
        <f t="shared" si="23"/>
        <v>16</v>
      </c>
      <c r="E79" s="138">
        <v>7</v>
      </c>
      <c r="F79" s="138">
        <v>1</v>
      </c>
      <c r="G79" s="139" t="s">
        <v>184</v>
      </c>
      <c r="H79" s="11">
        <v>244</v>
      </c>
      <c r="I79" s="9">
        <v>223</v>
      </c>
      <c r="J79" s="260">
        <f>'расчеты м 2019'!G55</f>
        <v>342350</v>
      </c>
      <c r="K79" s="239"/>
      <c r="L79" s="239"/>
      <c r="M79" s="260">
        <f>'расчеты м 2020'!G55</f>
        <v>342350</v>
      </c>
      <c r="N79" s="239"/>
      <c r="O79" s="239"/>
      <c r="P79" s="239">
        <v>0</v>
      </c>
      <c r="Q79" s="239"/>
      <c r="R79" s="239"/>
    </row>
    <row r="80" spans="1:18" ht="11.25">
      <c r="A80" s="279" t="s">
        <v>46</v>
      </c>
      <c r="B80" s="280"/>
      <c r="C80" s="281"/>
      <c r="D80" s="138">
        <f t="shared" si="23"/>
        <v>17</v>
      </c>
      <c r="E80" s="138">
        <v>7</v>
      </c>
      <c r="F80" s="138">
        <v>1</v>
      </c>
      <c r="G80" s="139" t="s">
        <v>184</v>
      </c>
      <c r="H80" s="11">
        <v>244</v>
      </c>
      <c r="I80" s="9">
        <v>223</v>
      </c>
      <c r="J80" s="260">
        <f>'расчеты м 2019'!G57</f>
        <v>5390</v>
      </c>
      <c r="K80" s="239"/>
      <c r="L80" s="239"/>
      <c r="M80" s="239"/>
      <c r="N80" s="239"/>
      <c r="O80" s="239"/>
      <c r="P80" s="239"/>
      <c r="Q80" s="239"/>
      <c r="R80" s="239"/>
    </row>
    <row r="81" spans="1:18" ht="11.25">
      <c r="A81" s="279" t="s">
        <v>48</v>
      </c>
      <c r="B81" s="280"/>
      <c r="C81" s="281"/>
      <c r="D81" s="138">
        <f t="shared" si="23"/>
        <v>18</v>
      </c>
      <c r="E81" s="138">
        <v>7</v>
      </c>
      <c r="F81" s="138">
        <v>1</v>
      </c>
      <c r="G81" s="139" t="s">
        <v>184</v>
      </c>
      <c r="H81" s="11">
        <v>244</v>
      </c>
      <c r="I81" s="9">
        <v>223</v>
      </c>
      <c r="J81" s="260">
        <f>'расчеты м 2019'!G58</f>
        <v>69400</v>
      </c>
      <c r="K81" s="239"/>
      <c r="L81" s="239"/>
      <c r="M81" s="239"/>
      <c r="N81" s="239"/>
      <c r="O81" s="239"/>
      <c r="P81" s="239"/>
      <c r="Q81" s="239"/>
      <c r="R81" s="239"/>
    </row>
    <row r="82" spans="1:18" ht="20.25" customHeight="1">
      <c r="A82" s="270" t="s">
        <v>49</v>
      </c>
      <c r="B82" s="271"/>
      <c r="C82" s="272"/>
      <c r="D82" s="138">
        <f t="shared" si="23"/>
        <v>19</v>
      </c>
      <c r="E82" s="138">
        <v>7</v>
      </c>
      <c r="F82" s="138">
        <v>1</v>
      </c>
      <c r="G82" s="139" t="s">
        <v>184</v>
      </c>
      <c r="H82" s="11">
        <v>244</v>
      </c>
      <c r="I82" s="9">
        <v>225</v>
      </c>
      <c r="J82" s="258">
        <f>'расчеты м 2019'!G69</f>
        <v>53840</v>
      </c>
      <c r="K82" s="248"/>
      <c r="L82" s="248"/>
      <c r="M82" s="248"/>
      <c r="N82" s="248"/>
      <c r="O82" s="248"/>
      <c r="P82" s="248"/>
      <c r="Q82" s="248"/>
      <c r="R82" s="248"/>
    </row>
    <row r="83" spans="1:18" ht="11.25">
      <c r="A83" s="203" t="s">
        <v>50</v>
      </c>
      <c r="B83" s="204"/>
      <c r="C83" s="205"/>
      <c r="D83" s="138">
        <f t="shared" si="23"/>
        <v>20</v>
      </c>
      <c r="E83" s="138">
        <v>7</v>
      </c>
      <c r="F83" s="138">
        <v>1</v>
      </c>
      <c r="G83" s="139" t="s">
        <v>184</v>
      </c>
      <c r="H83" s="11">
        <v>244</v>
      </c>
      <c r="I83" s="9">
        <v>226</v>
      </c>
      <c r="J83" s="258">
        <f>'расчеты м 2019'!G80</f>
        <v>31200</v>
      </c>
      <c r="K83" s="248"/>
      <c r="L83" s="248"/>
      <c r="M83" s="248"/>
      <c r="N83" s="248"/>
      <c r="O83" s="248"/>
      <c r="P83" s="248"/>
      <c r="Q83" s="248"/>
      <c r="R83" s="248"/>
    </row>
    <row r="84" spans="1:18" ht="18.75" customHeight="1">
      <c r="A84" s="276" t="s">
        <v>52</v>
      </c>
      <c r="B84" s="277"/>
      <c r="C84" s="278"/>
      <c r="D84" s="122">
        <f t="shared" si="23"/>
        <v>21</v>
      </c>
      <c r="E84" s="122">
        <v>7</v>
      </c>
      <c r="F84" s="122">
        <v>1</v>
      </c>
      <c r="G84" s="133" t="s">
        <v>184</v>
      </c>
      <c r="H84" s="128">
        <v>240</v>
      </c>
      <c r="I84" s="149">
        <v>300</v>
      </c>
      <c r="J84" s="246">
        <f aca="true" t="shared" si="30" ref="J84:R84">J85+J86+J88</f>
        <v>39280</v>
      </c>
      <c r="K84" s="246">
        <f t="shared" si="30"/>
        <v>0</v>
      </c>
      <c r="L84" s="246">
        <f t="shared" si="30"/>
        <v>0</v>
      </c>
      <c r="M84" s="246">
        <f t="shared" si="30"/>
        <v>0</v>
      </c>
      <c r="N84" s="246">
        <f t="shared" si="30"/>
        <v>0</v>
      </c>
      <c r="O84" s="246">
        <f t="shared" si="30"/>
        <v>0</v>
      </c>
      <c r="P84" s="246">
        <f t="shared" si="30"/>
        <v>0</v>
      </c>
      <c r="Q84" s="246">
        <f t="shared" si="30"/>
        <v>0</v>
      </c>
      <c r="R84" s="246">
        <f t="shared" si="30"/>
        <v>0</v>
      </c>
    </row>
    <row r="85" spans="1:18" ht="21.75" customHeight="1">
      <c r="A85" s="270" t="s">
        <v>53</v>
      </c>
      <c r="B85" s="271"/>
      <c r="C85" s="272"/>
      <c r="D85" s="138">
        <f t="shared" si="23"/>
        <v>22</v>
      </c>
      <c r="E85" s="138">
        <v>7</v>
      </c>
      <c r="F85" s="138">
        <v>1</v>
      </c>
      <c r="G85" s="139" t="s">
        <v>184</v>
      </c>
      <c r="H85" s="11">
        <v>244</v>
      </c>
      <c r="I85" s="9">
        <v>310</v>
      </c>
      <c r="J85" s="248"/>
      <c r="K85" s="248"/>
      <c r="L85" s="248"/>
      <c r="M85" s="248"/>
      <c r="N85" s="248"/>
      <c r="O85" s="248"/>
      <c r="P85" s="248"/>
      <c r="Q85" s="248"/>
      <c r="R85" s="248"/>
    </row>
    <row r="86" spans="1:18" ht="21.75" customHeight="1">
      <c r="A86" s="270" t="s">
        <v>54</v>
      </c>
      <c r="B86" s="271"/>
      <c r="C86" s="272"/>
      <c r="D86" s="138">
        <f t="shared" si="23"/>
        <v>23</v>
      </c>
      <c r="E86" s="138">
        <v>7</v>
      </c>
      <c r="F86" s="138">
        <v>1</v>
      </c>
      <c r="G86" s="139" t="s">
        <v>184</v>
      </c>
      <c r="H86" s="11">
        <v>244</v>
      </c>
      <c r="I86" s="9">
        <v>340</v>
      </c>
      <c r="J86" s="248">
        <f>J87</f>
        <v>36880</v>
      </c>
      <c r="K86" s="248">
        <f aca="true" t="shared" si="31" ref="K86:R86">K87</f>
        <v>0</v>
      </c>
      <c r="L86" s="248">
        <f t="shared" si="31"/>
        <v>0</v>
      </c>
      <c r="M86" s="248">
        <f t="shared" si="31"/>
        <v>0</v>
      </c>
      <c r="N86" s="248">
        <f t="shared" si="31"/>
        <v>0</v>
      </c>
      <c r="O86" s="248">
        <f t="shared" si="31"/>
        <v>0</v>
      </c>
      <c r="P86" s="248">
        <f t="shared" si="31"/>
        <v>0</v>
      </c>
      <c r="Q86" s="248">
        <f t="shared" si="31"/>
        <v>0</v>
      </c>
      <c r="R86" s="248">
        <f t="shared" si="31"/>
        <v>0</v>
      </c>
    </row>
    <row r="87" spans="1:18" ht="19.5" customHeight="1">
      <c r="A87" s="270" t="s">
        <v>288</v>
      </c>
      <c r="B87" s="271"/>
      <c r="C87" s="272"/>
      <c r="D87" s="138">
        <f t="shared" si="23"/>
        <v>24</v>
      </c>
      <c r="E87" s="138">
        <v>7</v>
      </c>
      <c r="F87" s="138">
        <v>1</v>
      </c>
      <c r="G87" s="139" t="s">
        <v>184</v>
      </c>
      <c r="H87" s="11">
        <v>244</v>
      </c>
      <c r="I87" s="9">
        <v>346</v>
      </c>
      <c r="J87" s="258">
        <f>'расчеты м 2019'!D131</f>
        <v>36880</v>
      </c>
      <c r="K87" s="248"/>
      <c r="L87" s="248"/>
      <c r="M87" s="248"/>
      <c r="N87" s="248"/>
      <c r="O87" s="248"/>
      <c r="P87" s="248"/>
      <c r="Q87" s="248"/>
      <c r="R87" s="248"/>
    </row>
    <row r="88" spans="1:18" ht="19.5" customHeight="1">
      <c r="A88" s="270" t="s">
        <v>289</v>
      </c>
      <c r="B88" s="271"/>
      <c r="C88" s="272"/>
      <c r="D88" s="138">
        <f t="shared" si="23"/>
        <v>25</v>
      </c>
      <c r="E88" s="138">
        <v>7</v>
      </c>
      <c r="F88" s="138">
        <v>1</v>
      </c>
      <c r="G88" s="139" t="s">
        <v>184</v>
      </c>
      <c r="H88" s="11">
        <v>244</v>
      </c>
      <c r="I88" s="9">
        <v>350</v>
      </c>
      <c r="J88" s="248">
        <f>J89</f>
        <v>2400</v>
      </c>
      <c r="K88" s="248">
        <f aca="true" t="shared" si="32" ref="K88:R88">K89</f>
        <v>0</v>
      </c>
      <c r="L88" s="248">
        <f t="shared" si="32"/>
        <v>0</v>
      </c>
      <c r="M88" s="248">
        <f t="shared" si="32"/>
        <v>0</v>
      </c>
      <c r="N88" s="248">
        <f t="shared" si="32"/>
        <v>0</v>
      </c>
      <c r="O88" s="248">
        <f t="shared" si="32"/>
        <v>0</v>
      </c>
      <c r="P88" s="248">
        <f t="shared" si="32"/>
        <v>0</v>
      </c>
      <c r="Q88" s="248">
        <f t="shared" si="32"/>
        <v>0</v>
      </c>
      <c r="R88" s="248">
        <f t="shared" si="32"/>
        <v>0</v>
      </c>
    </row>
    <row r="89" spans="1:18" ht="60.75" customHeight="1">
      <c r="A89" s="270" t="s">
        <v>290</v>
      </c>
      <c r="B89" s="271"/>
      <c r="C89" s="272"/>
      <c r="D89" s="138">
        <f t="shared" si="23"/>
        <v>26</v>
      </c>
      <c r="E89" s="138">
        <v>7</v>
      </c>
      <c r="F89" s="138">
        <v>1</v>
      </c>
      <c r="G89" s="139" t="s">
        <v>184</v>
      </c>
      <c r="H89" s="11">
        <v>244</v>
      </c>
      <c r="I89" s="9">
        <v>353</v>
      </c>
      <c r="J89" s="258">
        <f>'расчеты м 2019'!G139</f>
        <v>2400</v>
      </c>
      <c r="K89" s="248"/>
      <c r="L89" s="248"/>
      <c r="M89" s="248"/>
      <c r="N89" s="248"/>
      <c r="O89" s="248"/>
      <c r="P89" s="248"/>
      <c r="Q89" s="248"/>
      <c r="R89" s="248"/>
    </row>
    <row r="90" spans="1:18" ht="39.75" customHeight="1">
      <c r="A90" s="230" t="s">
        <v>205</v>
      </c>
      <c r="B90" s="195"/>
      <c r="C90" s="196"/>
      <c r="D90" s="122">
        <f>D89+1</f>
        <v>27</v>
      </c>
      <c r="E90" s="132">
        <v>7</v>
      </c>
      <c r="F90" s="132">
        <v>1</v>
      </c>
      <c r="G90" s="133" t="s">
        <v>206</v>
      </c>
      <c r="H90" s="134"/>
      <c r="I90" s="137"/>
      <c r="J90" s="247">
        <f>J91</f>
        <v>1831850</v>
      </c>
      <c r="K90" s="247">
        <f aca="true" t="shared" si="33" ref="K90:R92">K91</f>
        <v>0</v>
      </c>
      <c r="L90" s="247">
        <f t="shared" si="33"/>
        <v>0</v>
      </c>
      <c r="M90" s="247">
        <f t="shared" si="33"/>
        <v>1903430</v>
      </c>
      <c r="N90" s="247">
        <f t="shared" si="33"/>
        <v>0</v>
      </c>
      <c r="O90" s="247">
        <f t="shared" si="33"/>
        <v>0</v>
      </c>
      <c r="P90" s="247">
        <f t="shared" si="33"/>
        <v>1995220</v>
      </c>
      <c r="Q90" s="247">
        <f t="shared" si="33"/>
        <v>0</v>
      </c>
      <c r="R90" s="247">
        <f t="shared" si="33"/>
        <v>0</v>
      </c>
    </row>
    <row r="91" spans="1:18" ht="23.25" customHeight="1">
      <c r="A91" s="276" t="s">
        <v>52</v>
      </c>
      <c r="B91" s="277"/>
      <c r="C91" s="278"/>
      <c r="D91" s="122">
        <f t="shared" si="23"/>
        <v>28</v>
      </c>
      <c r="E91" s="122">
        <v>7</v>
      </c>
      <c r="F91" s="122">
        <v>1</v>
      </c>
      <c r="G91" s="123" t="s">
        <v>206</v>
      </c>
      <c r="H91" s="128">
        <v>240</v>
      </c>
      <c r="I91" s="149">
        <v>300</v>
      </c>
      <c r="J91" s="246">
        <f>J92</f>
        <v>1831850</v>
      </c>
      <c r="K91" s="246">
        <f t="shared" si="33"/>
        <v>0</v>
      </c>
      <c r="L91" s="246">
        <f t="shared" si="33"/>
        <v>0</v>
      </c>
      <c r="M91" s="246">
        <f t="shared" si="33"/>
        <v>1903430</v>
      </c>
      <c r="N91" s="246">
        <f t="shared" si="33"/>
        <v>0</v>
      </c>
      <c r="O91" s="246">
        <f t="shared" si="33"/>
        <v>0</v>
      </c>
      <c r="P91" s="246">
        <f t="shared" si="33"/>
        <v>1995220</v>
      </c>
      <c r="Q91" s="246">
        <f t="shared" si="33"/>
        <v>0</v>
      </c>
      <c r="R91" s="246">
        <f>R92</f>
        <v>0</v>
      </c>
    </row>
    <row r="92" spans="1:18" ht="21.75" customHeight="1">
      <c r="A92" s="270" t="s">
        <v>54</v>
      </c>
      <c r="B92" s="271"/>
      <c r="C92" s="272"/>
      <c r="D92" s="138">
        <f t="shared" si="23"/>
        <v>29</v>
      </c>
      <c r="E92" s="138">
        <v>7</v>
      </c>
      <c r="F92" s="138">
        <v>1</v>
      </c>
      <c r="G92" s="139" t="s">
        <v>206</v>
      </c>
      <c r="H92" s="11">
        <v>244</v>
      </c>
      <c r="I92" s="9">
        <v>340</v>
      </c>
      <c r="J92" s="248">
        <f>J93</f>
        <v>1831850</v>
      </c>
      <c r="K92" s="248">
        <f t="shared" si="33"/>
        <v>0</v>
      </c>
      <c r="L92" s="248">
        <f t="shared" si="33"/>
        <v>0</v>
      </c>
      <c r="M92" s="248">
        <f t="shared" si="33"/>
        <v>1903430</v>
      </c>
      <c r="N92" s="248">
        <f t="shared" si="33"/>
        <v>0</v>
      </c>
      <c r="O92" s="248">
        <f t="shared" si="33"/>
        <v>0</v>
      </c>
      <c r="P92" s="248">
        <f t="shared" si="33"/>
        <v>1995220</v>
      </c>
      <c r="Q92" s="248">
        <f t="shared" si="33"/>
        <v>0</v>
      </c>
      <c r="R92" s="248">
        <f t="shared" si="33"/>
        <v>0</v>
      </c>
    </row>
    <row r="93" spans="1:18" ht="21.75" customHeight="1">
      <c r="A93" s="270" t="s">
        <v>291</v>
      </c>
      <c r="B93" s="271"/>
      <c r="C93" s="272"/>
      <c r="D93" s="138">
        <f t="shared" si="23"/>
        <v>30</v>
      </c>
      <c r="E93" s="138">
        <v>7</v>
      </c>
      <c r="F93" s="138">
        <v>1</v>
      </c>
      <c r="G93" s="139" t="s">
        <v>206</v>
      </c>
      <c r="H93" s="11">
        <v>244</v>
      </c>
      <c r="I93" s="9">
        <v>342</v>
      </c>
      <c r="J93" s="258">
        <f>'расчеты м 2019'!D123</f>
        <v>1831850</v>
      </c>
      <c r="K93" s="248"/>
      <c r="L93" s="248"/>
      <c r="M93" s="258">
        <f>'расчеты м 2020'!D119</f>
        <v>1903430</v>
      </c>
      <c r="N93" s="248"/>
      <c r="O93" s="248"/>
      <c r="P93" s="248">
        <f>'расчеты м 2021'!D119</f>
        <v>1995220</v>
      </c>
      <c r="Q93" s="248"/>
      <c r="R93" s="248"/>
    </row>
    <row r="94" spans="1:18" ht="63.75" customHeight="1">
      <c r="A94" s="230" t="s">
        <v>98</v>
      </c>
      <c r="B94" s="195"/>
      <c r="C94" s="196"/>
      <c r="D94" s="132">
        <f>D93+1</f>
        <v>31</v>
      </c>
      <c r="E94" s="132">
        <v>7</v>
      </c>
      <c r="F94" s="132">
        <v>1</v>
      </c>
      <c r="G94" s="133" t="s">
        <v>186</v>
      </c>
      <c r="H94" s="134"/>
      <c r="I94" s="137"/>
      <c r="J94" s="247">
        <f>J95+J100+J105</f>
        <v>6052650</v>
      </c>
      <c r="K94" s="247">
        <f aca="true" t="shared" si="34" ref="K94:R94">K95+K100+K105</f>
        <v>0</v>
      </c>
      <c r="L94" s="247">
        <f t="shared" si="34"/>
        <v>0</v>
      </c>
      <c r="M94" s="247">
        <f t="shared" si="34"/>
        <v>6104810</v>
      </c>
      <c r="N94" s="247">
        <f t="shared" si="34"/>
        <v>0</v>
      </c>
      <c r="O94" s="247">
        <f t="shared" si="34"/>
        <v>0</v>
      </c>
      <c r="P94" s="247">
        <f t="shared" si="34"/>
        <v>6237210</v>
      </c>
      <c r="Q94" s="247">
        <f t="shared" si="34"/>
        <v>0</v>
      </c>
      <c r="R94" s="247">
        <f t="shared" si="34"/>
        <v>0</v>
      </c>
    </row>
    <row r="95" spans="1:18" ht="77.25" customHeight="1">
      <c r="A95" s="264" t="s">
        <v>134</v>
      </c>
      <c r="B95" s="265"/>
      <c r="C95" s="266"/>
      <c r="D95" s="156">
        <f t="shared" si="23"/>
        <v>32</v>
      </c>
      <c r="E95" s="156">
        <v>7</v>
      </c>
      <c r="F95" s="156">
        <v>1</v>
      </c>
      <c r="G95" s="157" t="s">
        <v>187</v>
      </c>
      <c r="H95" s="11"/>
      <c r="I95" s="9"/>
      <c r="J95" s="250">
        <f>J96</f>
        <v>4648530</v>
      </c>
      <c r="K95" s="250">
        <f aca="true" t="shared" si="35" ref="K95:R95">K96</f>
        <v>0</v>
      </c>
      <c r="L95" s="250">
        <f t="shared" si="35"/>
        <v>0</v>
      </c>
      <c r="M95" s="250">
        <f t="shared" si="35"/>
        <v>4648530</v>
      </c>
      <c r="N95" s="250">
        <f t="shared" si="35"/>
        <v>0</v>
      </c>
      <c r="O95" s="250">
        <f t="shared" si="35"/>
        <v>0</v>
      </c>
      <c r="P95" s="250">
        <f t="shared" si="35"/>
        <v>4702070</v>
      </c>
      <c r="Q95" s="250">
        <f t="shared" si="35"/>
        <v>0</v>
      </c>
      <c r="R95" s="250">
        <f t="shared" si="35"/>
        <v>0</v>
      </c>
    </row>
    <row r="96" spans="1:18" ht="19.5" customHeight="1">
      <c r="A96" s="276" t="s">
        <v>32</v>
      </c>
      <c r="B96" s="277"/>
      <c r="C96" s="278"/>
      <c r="D96" s="122">
        <f t="shared" si="23"/>
        <v>33</v>
      </c>
      <c r="E96" s="122">
        <v>7</v>
      </c>
      <c r="F96" s="122">
        <v>1</v>
      </c>
      <c r="G96" s="133" t="s">
        <v>187</v>
      </c>
      <c r="H96" s="128">
        <v>110</v>
      </c>
      <c r="I96" s="30">
        <v>210</v>
      </c>
      <c r="J96" s="247">
        <f>J97+J98+J99</f>
        <v>4648530</v>
      </c>
      <c r="K96" s="247">
        <f aca="true" t="shared" si="36" ref="K96:R96">K97+K98+K99</f>
        <v>0</v>
      </c>
      <c r="L96" s="247">
        <f t="shared" si="36"/>
        <v>0</v>
      </c>
      <c r="M96" s="247">
        <f t="shared" si="36"/>
        <v>4648530</v>
      </c>
      <c r="N96" s="247">
        <f t="shared" si="36"/>
        <v>0</v>
      </c>
      <c r="O96" s="247">
        <f t="shared" si="36"/>
        <v>0</v>
      </c>
      <c r="P96" s="247">
        <f t="shared" si="36"/>
        <v>4702070</v>
      </c>
      <c r="Q96" s="247">
        <f t="shared" si="36"/>
        <v>0</v>
      </c>
      <c r="R96" s="247">
        <f t="shared" si="36"/>
        <v>0</v>
      </c>
    </row>
    <row r="97" spans="1:18" ht="11.25">
      <c r="A97" s="203" t="s">
        <v>33</v>
      </c>
      <c r="B97" s="204"/>
      <c r="C97" s="205"/>
      <c r="D97" s="138">
        <f t="shared" si="23"/>
        <v>34</v>
      </c>
      <c r="E97" s="138">
        <v>7</v>
      </c>
      <c r="F97" s="138">
        <v>1</v>
      </c>
      <c r="G97" s="157" t="s">
        <v>187</v>
      </c>
      <c r="H97" s="11">
        <v>111</v>
      </c>
      <c r="I97" s="10">
        <v>211</v>
      </c>
      <c r="J97" s="258">
        <f>'расч об 2019'!D16</f>
        <v>3570300</v>
      </c>
      <c r="K97" s="248"/>
      <c r="L97" s="248"/>
      <c r="M97" s="258">
        <f>J97</f>
        <v>3570300</v>
      </c>
      <c r="N97" s="248"/>
      <c r="O97" s="248"/>
      <c r="P97" s="248">
        <f>'расч об 2021'!D16</f>
        <v>3611420</v>
      </c>
      <c r="Q97" s="248"/>
      <c r="R97" s="248"/>
    </row>
    <row r="98" spans="1:18" ht="22.5" customHeight="1">
      <c r="A98" s="270" t="s">
        <v>34</v>
      </c>
      <c r="B98" s="271"/>
      <c r="C98" s="272"/>
      <c r="D98" s="138">
        <f t="shared" si="23"/>
        <v>35</v>
      </c>
      <c r="E98" s="138">
        <v>7</v>
      </c>
      <c r="F98" s="138">
        <v>1</v>
      </c>
      <c r="G98" s="139" t="s">
        <v>187</v>
      </c>
      <c r="H98" s="11">
        <v>119</v>
      </c>
      <c r="I98" s="10">
        <v>213</v>
      </c>
      <c r="J98" s="258">
        <f>'расч об 2019'!D39</f>
        <v>1078230</v>
      </c>
      <c r="K98" s="248"/>
      <c r="L98" s="248"/>
      <c r="M98" s="258">
        <f>J98</f>
        <v>1078230</v>
      </c>
      <c r="N98" s="248"/>
      <c r="O98" s="248"/>
      <c r="P98" s="248">
        <f>'расч об 2021'!D39</f>
        <v>1090650</v>
      </c>
      <c r="Q98" s="248"/>
      <c r="R98" s="248"/>
    </row>
    <row r="99" spans="1:18" ht="11.25">
      <c r="A99" s="203" t="s">
        <v>35</v>
      </c>
      <c r="B99" s="204"/>
      <c r="C99" s="205"/>
      <c r="D99" s="138">
        <f t="shared" si="23"/>
        <v>36</v>
      </c>
      <c r="E99" s="138">
        <v>7</v>
      </c>
      <c r="F99" s="138">
        <v>1</v>
      </c>
      <c r="G99" s="139" t="s">
        <v>187</v>
      </c>
      <c r="H99" s="11">
        <v>112</v>
      </c>
      <c r="I99" s="10">
        <v>212</v>
      </c>
      <c r="J99" s="248"/>
      <c r="K99" s="248"/>
      <c r="L99" s="248"/>
      <c r="M99" s="248"/>
      <c r="N99" s="248"/>
      <c r="O99" s="248"/>
      <c r="P99" s="248"/>
      <c r="Q99" s="248"/>
      <c r="R99" s="248"/>
    </row>
    <row r="100" spans="1:18" ht="76.5" customHeight="1">
      <c r="A100" s="264" t="s">
        <v>139</v>
      </c>
      <c r="B100" s="265"/>
      <c r="C100" s="266"/>
      <c r="D100" s="156">
        <f t="shared" si="23"/>
        <v>37</v>
      </c>
      <c r="E100" s="156">
        <v>7</v>
      </c>
      <c r="F100" s="156">
        <v>1</v>
      </c>
      <c r="G100" s="157" t="s">
        <v>185</v>
      </c>
      <c r="H100" s="159"/>
      <c r="I100" s="100"/>
      <c r="J100" s="250">
        <f>J101</f>
        <v>1300200</v>
      </c>
      <c r="K100" s="250">
        <f aca="true" t="shared" si="37" ref="K100:R100">K101</f>
        <v>0</v>
      </c>
      <c r="L100" s="250">
        <f t="shared" si="37"/>
        <v>0</v>
      </c>
      <c r="M100" s="250">
        <f t="shared" si="37"/>
        <v>1300200</v>
      </c>
      <c r="N100" s="250">
        <f t="shared" si="37"/>
        <v>0</v>
      </c>
      <c r="O100" s="250">
        <f t="shared" si="37"/>
        <v>0</v>
      </c>
      <c r="P100" s="250">
        <f t="shared" si="37"/>
        <v>1314380</v>
      </c>
      <c r="Q100" s="250">
        <f t="shared" si="37"/>
        <v>0</v>
      </c>
      <c r="R100" s="250">
        <f t="shared" si="37"/>
        <v>0</v>
      </c>
    </row>
    <row r="101" spans="1:18" ht="21" customHeight="1">
      <c r="A101" s="276" t="s">
        <v>32</v>
      </c>
      <c r="B101" s="277"/>
      <c r="C101" s="278"/>
      <c r="D101" s="122">
        <f t="shared" si="23"/>
        <v>38</v>
      </c>
      <c r="E101" s="122">
        <v>7</v>
      </c>
      <c r="F101" s="122">
        <v>1</v>
      </c>
      <c r="G101" s="123" t="s">
        <v>185</v>
      </c>
      <c r="H101" s="128">
        <v>110</v>
      </c>
      <c r="I101" s="30">
        <v>210</v>
      </c>
      <c r="J101" s="246">
        <f>J102+J103+J104</f>
        <v>1300200</v>
      </c>
      <c r="K101" s="246">
        <f aca="true" t="shared" si="38" ref="K101:R101">K102+K103+K104</f>
        <v>0</v>
      </c>
      <c r="L101" s="246">
        <f t="shared" si="38"/>
        <v>0</v>
      </c>
      <c r="M101" s="246">
        <f t="shared" si="38"/>
        <v>1300200</v>
      </c>
      <c r="N101" s="246">
        <f t="shared" si="38"/>
        <v>0</v>
      </c>
      <c r="O101" s="246">
        <f t="shared" si="38"/>
        <v>0</v>
      </c>
      <c r="P101" s="246">
        <f t="shared" si="38"/>
        <v>1314380</v>
      </c>
      <c r="Q101" s="246">
        <f t="shared" si="38"/>
        <v>0</v>
      </c>
      <c r="R101" s="246">
        <f t="shared" si="38"/>
        <v>0</v>
      </c>
    </row>
    <row r="102" spans="1:18" ht="11.25">
      <c r="A102" s="203" t="s">
        <v>33</v>
      </c>
      <c r="B102" s="204"/>
      <c r="C102" s="205"/>
      <c r="D102" s="138">
        <f t="shared" si="23"/>
        <v>39</v>
      </c>
      <c r="E102" s="138">
        <v>7</v>
      </c>
      <c r="F102" s="138">
        <v>1</v>
      </c>
      <c r="G102" s="139" t="s">
        <v>185</v>
      </c>
      <c r="H102" s="11">
        <v>111</v>
      </c>
      <c r="I102" s="10">
        <v>211</v>
      </c>
      <c r="J102" s="258">
        <f>'расч об 2019'!D19</f>
        <v>998200</v>
      </c>
      <c r="K102" s="248"/>
      <c r="L102" s="248"/>
      <c r="M102" s="258">
        <f>J102</f>
        <v>998200</v>
      </c>
      <c r="N102" s="248"/>
      <c r="O102" s="248"/>
      <c r="P102" s="248">
        <f>'расч об 2021'!D19</f>
        <v>1009500</v>
      </c>
      <c r="Q102" s="248"/>
      <c r="R102" s="248"/>
    </row>
    <row r="103" spans="1:18" ht="25.5" customHeight="1">
      <c r="A103" s="270" t="s">
        <v>34</v>
      </c>
      <c r="B103" s="271"/>
      <c r="C103" s="272"/>
      <c r="D103" s="138">
        <f t="shared" si="23"/>
        <v>40</v>
      </c>
      <c r="E103" s="138">
        <v>7</v>
      </c>
      <c r="F103" s="138">
        <v>1</v>
      </c>
      <c r="G103" s="139" t="s">
        <v>185</v>
      </c>
      <c r="H103" s="11">
        <v>119</v>
      </c>
      <c r="I103" s="10">
        <v>213</v>
      </c>
      <c r="J103" s="258">
        <f>'расч об 2019'!D40</f>
        <v>301400</v>
      </c>
      <c r="K103" s="248"/>
      <c r="L103" s="248"/>
      <c r="M103" s="258">
        <f>J103</f>
        <v>301400</v>
      </c>
      <c r="N103" s="248"/>
      <c r="O103" s="248"/>
      <c r="P103" s="248">
        <f>'расч об 2021'!D40</f>
        <v>304880</v>
      </c>
      <c r="Q103" s="248"/>
      <c r="R103" s="248"/>
    </row>
    <row r="104" spans="1:18" ht="11.25">
      <c r="A104" s="203" t="s">
        <v>35</v>
      </c>
      <c r="B104" s="204"/>
      <c r="C104" s="205"/>
      <c r="D104" s="138">
        <f t="shared" si="23"/>
        <v>41</v>
      </c>
      <c r="E104" s="138">
        <v>7</v>
      </c>
      <c r="F104" s="138">
        <v>1</v>
      </c>
      <c r="G104" s="139" t="s">
        <v>185</v>
      </c>
      <c r="H104" s="11">
        <v>112</v>
      </c>
      <c r="I104" s="10">
        <v>212</v>
      </c>
      <c r="J104" s="258">
        <f>'расч об 2019'!G31</f>
        <v>600</v>
      </c>
      <c r="K104" s="248"/>
      <c r="L104" s="248"/>
      <c r="M104" s="258">
        <f>'расч об 2020'!G31</f>
        <v>600</v>
      </c>
      <c r="N104" s="248"/>
      <c r="O104" s="248"/>
      <c r="P104" s="248"/>
      <c r="Q104" s="248"/>
      <c r="R104" s="248"/>
    </row>
    <row r="105" spans="1:18" ht="81.75" customHeight="1">
      <c r="A105" s="264" t="s">
        <v>135</v>
      </c>
      <c r="B105" s="265"/>
      <c r="C105" s="266"/>
      <c r="D105" s="156">
        <f t="shared" si="23"/>
        <v>42</v>
      </c>
      <c r="E105" s="156">
        <v>7</v>
      </c>
      <c r="F105" s="156">
        <v>1</v>
      </c>
      <c r="G105" s="157" t="s">
        <v>188</v>
      </c>
      <c r="H105" s="159"/>
      <c r="I105" s="100"/>
      <c r="J105" s="250">
        <f>J106</f>
        <v>103920</v>
      </c>
      <c r="K105" s="250">
        <f aca="true" t="shared" si="39" ref="K105:R107">K106</f>
        <v>0</v>
      </c>
      <c r="L105" s="250">
        <f t="shared" si="39"/>
        <v>0</v>
      </c>
      <c r="M105" s="250">
        <f t="shared" si="39"/>
        <v>156080</v>
      </c>
      <c r="N105" s="250">
        <f t="shared" si="39"/>
        <v>0</v>
      </c>
      <c r="O105" s="250">
        <f t="shared" si="39"/>
        <v>0</v>
      </c>
      <c r="P105" s="250">
        <f t="shared" si="39"/>
        <v>220760</v>
      </c>
      <c r="Q105" s="250">
        <f t="shared" si="39"/>
        <v>0</v>
      </c>
      <c r="R105" s="250">
        <f t="shared" si="39"/>
        <v>0</v>
      </c>
    </row>
    <row r="106" spans="1:18" ht="18" customHeight="1">
      <c r="A106" s="276" t="s">
        <v>52</v>
      </c>
      <c r="B106" s="277"/>
      <c r="C106" s="278"/>
      <c r="D106" s="122">
        <f t="shared" si="23"/>
        <v>43</v>
      </c>
      <c r="E106" s="122">
        <v>7</v>
      </c>
      <c r="F106" s="122">
        <v>1</v>
      </c>
      <c r="G106" s="123" t="s">
        <v>188</v>
      </c>
      <c r="H106" s="128">
        <v>240</v>
      </c>
      <c r="I106" s="30">
        <v>300</v>
      </c>
      <c r="J106" s="246">
        <f>J107</f>
        <v>103920</v>
      </c>
      <c r="K106" s="246">
        <f t="shared" si="39"/>
        <v>0</v>
      </c>
      <c r="L106" s="246">
        <f t="shared" si="39"/>
        <v>0</v>
      </c>
      <c r="M106" s="246">
        <f t="shared" si="39"/>
        <v>156080</v>
      </c>
      <c r="N106" s="246">
        <f t="shared" si="39"/>
        <v>0</v>
      </c>
      <c r="O106" s="246">
        <f t="shared" si="39"/>
        <v>0</v>
      </c>
      <c r="P106" s="246">
        <f t="shared" si="39"/>
        <v>220760</v>
      </c>
      <c r="Q106" s="246">
        <f t="shared" si="39"/>
        <v>0</v>
      </c>
      <c r="R106" s="246">
        <f t="shared" si="39"/>
        <v>0</v>
      </c>
    </row>
    <row r="107" spans="1:18" ht="21.75" customHeight="1">
      <c r="A107" s="270" t="s">
        <v>54</v>
      </c>
      <c r="B107" s="271"/>
      <c r="C107" s="272"/>
      <c r="D107" s="138">
        <f t="shared" si="23"/>
        <v>44</v>
      </c>
      <c r="E107" s="138">
        <v>7</v>
      </c>
      <c r="F107" s="138">
        <v>1</v>
      </c>
      <c r="G107" s="139" t="s">
        <v>188</v>
      </c>
      <c r="H107" s="11">
        <v>244</v>
      </c>
      <c r="I107" s="10">
        <v>340</v>
      </c>
      <c r="J107" s="248">
        <f>J108</f>
        <v>103920</v>
      </c>
      <c r="K107" s="248">
        <f t="shared" si="39"/>
        <v>0</v>
      </c>
      <c r="L107" s="248">
        <f t="shared" si="39"/>
        <v>0</v>
      </c>
      <c r="M107" s="248">
        <f t="shared" si="39"/>
        <v>156080</v>
      </c>
      <c r="N107" s="248">
        <f t="shared" si="39"/>
        <v>0</v>
      </c>
      <c r="O107" s="248">
        <f t="shared" si="39"/>
        <v>0</v>
      </c>
      <c r="P107" s="248">
        <f t="shared" si="39"/>
        <v>220760</v>
      </c>
      <c r="Q107" s="248">
        <f t="shared" si="39"/>
        <v>0</v>
      </c>
      <c r="R107" s="248">
        <f t="shared" si="39"/>
        <v>0</v>
      </c>
    </row>
    <row r="108" spans="1:18" ht="28.5" customHeight="1">
      <c r="A108" s="270" t="s">
        <v>288</v>
      </c>
      <c r="B108" s="271"/>
      <c r="C108" s="272"/>
      <c r="D108" s="138">
        <f t="shared" si="23"/>
        <v>45</v>
      </c>
      <c r="E108" s="138">
        <v>7</v>
      </c>
      <c r="F108" s="138">
        <v>1</v>
      </c>
      <c r="G108" s="139" t="s">
        <v>188</v>
      </c>
      <c r="H108" s="11">
        <v>244</v>
      </c>
      <c r="I108" s="10">
        <v>346</v>
      </c>
      <c r="J108" s="258">
        <f>'расч об 2019'!D49</f>
        <v>103920</v>
      </c>
      <c r="K108" s="248"/>
      <c r="L108" s="248"/>
      <c r="M108" s="258">
        <f>'расч об 2020'!D49</f>
        <v>156080</v>
      </c>
      <c r="N108" s="248"/>
      <c r="O108" s="248"/>
      <c r="P108" s="248">
        <f>'расч об 2021'!D49</f>
        <v>220760</v>
      </c>
      <c r="Q108" s="248"/>
      <c r="R108" s="248"/>
    </row>
    <row r="109" spans="1:18" ht="39" customHeight="1">
      <c r="A109" s="230" t="s">
        <v>99</v>
      </c>
      <c r="B109" s="195"/>
      <c r="C109" s="196"/>
      <c r="D109" s="122">
        <f>D108+1</f>
        <v>46</v>
      </c>
      <c r="E109" s="132">
        <v>7</v>
      </c>
      <c r="F109" s="132">
        <v>1</v>
      </c>
      <c r="G109" s="133" t="s">
        <v>178</v>
      </c>
      <c r="H109" s="134"/>
      <c r="I109" s="39"/>
      <c r="J109" s="247">
        <f>J110</f>
        <v>2610</v>
      </c>
      <c r="K109" s="247">
        <f aca="true" t="shared" si="40" ref="K109:R109">K110</f>
        <v>0</v>
      </c>
      <c r="L109" s="247">
        <f t="shared" si="40"/>
        <v>0</v>
      </c>
      <c r="M109" s="247">
        <f t="shared" si="40"/>
        <v>0</v>
      </c>
      <c r="N109" s="247">
        <f t="shared" si="40"/>
        <v>0</v>
      </c>
      <c r="O109" s="247">
        <f t="shared" si="40"/>
        <v>0</v>
      </c>
      <c r="P109" s="247">
        <f t="shared" si="40"/>
        <v>0</v>
      </c>
      <c r="Q109" s="247">
        <f t="shared" si="40"/>
        <v>0</v>
      </c>
      <c r="R109" s="247">
        <f t="shared" si="40"/>
        <v>0</v>
      </c>
    </row>
    <row r="110" spans="1:18" ht="11.25">
      <c r="A110" s="276" t="s">
        <v>51</v>
      </c>
      <c r="B110" s="277"/>
      <c r="C110" s="278"/>
      <c r="D110" s="122">
        <f t="shared" si="23"/>
        <v>47</v>
      </c>
      <c r="E110" s="122">
        <v>7</v>
      </c>
      <c r="F110" s="122">
        <v>1</v>
      </c>
      <c r="G110" s="123" t="s">
        <v>178</v>
      </c>
      <c r="H110" s="128">
        <v>850</v>
      </c>
      <c r="I110" s="149">
        <v>290</v>
      </c>
      <c r="J110" s="246">
        <f>J111+J112</f>
        <v>2610</v>
      </c>
      <c r="K110" s="246">
        <f aca="true" t="shared" si="41" ref="K110:R110">K111+K112</f>
        <v>0</v>
      </c>
      <c r="L110" s="246">
        <f t="shared" si="41"/>
        <v>0</v>
      </c>
      <c r="M110" s="246">
        <f t="shared" si="41"/>
        <v>0</v>
      </c>
      <c r="N110" s="246">
        <f t="shared" si="41"/>
        <v>0</v>
      </c>
      <c r="O110" s="246">
        <f t="shared" si="41"/>
        <v>0</v>
      </c>
      <c r="P110" s="246">
        <f t="shared" si="41"/>
        <v>0</v>
      </c>
      <c r="Q110" s="246">
        <f t="shared" si="41"/>
        <v>0</v>
      </c>
      <c r="R110" s="246">
        <f t="shared" si="41"/>
        <v>0</v>
      </c>
    </row>
    <row r="111" spans="1:18" ht="11.25">
      <c r="A111" s="270" t="s">
        <v>292</v>
      </c>
      <c r="B111" s="271"/>
      <c r="C111" s="272"/>
      <c r="D111" s="138">
        <f t="shared" si="23"/>
        <v>48</v>
      </c>
      <c r="E111" s="138">
        <v>7</v>
      </c>
      <c r="F111" s="138">
        <v>1</v>
      </c>
      <c r="G111" s="139" t="s">
        <v>178</v>
      </c>
      <c r="H111" s="11">
        <v>851</v>
      </c>
      <c r="I111" s="9">
        <v>291</v>
      </c>
      <c r="J111" s="258">
        <f>'расчеты м 2019'!F89</f>
        <v>610</v>
      </c>
      <c r="K111" s="248"/>
      <c r="L111" s="248"/>
      <c r="M111" s="248"/>
      <c r="N111" s="248"/>
      <c r="O111" s="248"/>
      <c r="P111" s="248"/>
      <c r="Q111" s="248"/>
      <c r="R111" s="248"/>
    </row>
    <row r="112" spans="1:18" ht="41.25" customHeight="1">
      <c r="A112" s="270" t="s">
        <v>293</v>
      </c>
      <c r="B112" s="271"/>
      <c r="C112" s="272"/>
      <c r="D112" s="138">
        <f>D111+1</f>
        <v>49</v>
      </c>
      <c r="E112" s="138">
        <v>7</v>
      </c>
      <c r="F112" s="138">
        <v>1</v>
      </c>
      <c r="G112" s="139" t="s">
        <v>178</v>
      </c>
      <c r="H112" s="11">
        <v>853</v>
      </c>
      <c r="I112" s="9">
        <v>292</v>
      </c>
      <c r="J112" s="258">
        <f>'расчеты м 2019'!F97</f>
        <v>2000</v>
      </c>
      <c r="K112" s="248"/>
      <c r="L112" s="248"/>
      <c r="M112" s="248"/>
      <c r="N112" s="248"/>
      <c r="O112" s="248"/>
      <c r="P112" s="248"/>
      <c r="Q112" s="248"/>
      <c r="R112" s="248"/>
    </row>
    <row r="113" spans="1:18" ht="21" customHeight="1">
      <c r="A113" s="276" t="s">
        <v>294</v>
      </c>
      <c r="B113" s="277"/>
      <c r="C113" s="278"/>
      <c r="D113" s="122">
        <f t="shared" si="23"/>
        <v>50</v>
      </c>
      <c r="E113" s="122">
        <v>7</v>
      </c>
      <c r="F113" s="122">
        <v>1</v>
      </c>
      <c r="G113" s="123" t="s">
        <v>179</v>
      </c>
      <c r="H113" s="128"/>
      <c r="I113" s="149"/>
      <c r="J113" s="246">
        <f>J114</f>
        <v>22100</v>
      </c>
      <c r="K113" s="246">
        <f aca="true" t="shared" si="42" ref="K113:R113">K114</f>
        <v>0</v>
      </c>
      <c r="L113" s="246">
        <f t="shared" si="42"/>
        <v>0</v>
      </c>
      <c r="M113" s="246">
        <f t="shared" si="42"/>
        <v>0</v>
      </c>
      <c r="N113" s="246">
        <f t="shared" si="42"/>
        <v>0</v>
      </c>
      <c r="O113" s="246">
        <f t="shared" si="42"/>
        <v>0</v>
      </c>
      <c r="P113" s="246">
        <f t="shared" si="42"/>
        <v>0</v>
      </c>
      <c r="Q113" s="246">
        <f t="shared" si="42"/>
        <v>0</v>
      </c>
      <c r="R113" s="246">
        <f t="shared" si="42"/>
        <v>0</v>
      </c>
    </row>
    <row r="114" spans="1:18" ht="10.5" customHeight="1">
      <c r="A114" s="197" t="s">
        <v>36</v>
      </c>
      <c r="B114" s="198"/>
      <c r="C114" s="199"/>
      <c r="D114" s="122">
        <f t="shared" si="23"/>
        <v>51</v>
      </c>
      <c r="E114" s="122">
        <v>7</v>
      </c>
      <c r="F114" s="122">
        <v>1</v>
      </c>
      <c r="G114" s="123" t="s">
        <v>179</v>
      </c>
      <c r="H114" s="128">
        <v>240</v>
      </c>
      <c r="I114" s="149">
        <v>220</v>
      </c>
      <c r="J114" s="248">
        <f>J115</f>
        <v>22100</v>
      </c>
      <c r="K114" s="248"/>
      <c r="L114" s="248"/>
      <c r="M114" s="248"/>
      <c r="N114" s="248"/>
      <c r="O114" s="248"/>
      <c r="P114" s="248"/>
      <c r="Q114" s="248"/>
      <c r="R114" s="248"/>
    </row>
    <row r="115" spans="1:18" ht="11.25">
      <c r="A115" s="270" t="s">
        <v>39</v>
      </c>
      <c r="B115" s="271"/>
      <c r="C115" s="272"/>
      <c r="D115" s="138">
        <f t="shared" si="23"/>
        <v>52</v>
      </c>
      <c r="E115" s="138">
        <v>7</v>
      </c>
      <c r="F115" s="138">
        <v>1</v>
      </c>
      <c r="G115" s="139" t="s">
        <v>179</v>
      </c>
      <c r="H115" s="11">
        <v>244</v>
      </c>
      <c r="I115" s="9">
        <v>223</v>
      </c>
      <c r="J115" s="248">
        <f>J116</f>
        <v>22100</v>
      </c>
      <c r="K115" s="248">
        <f aca="true" t="shared" si="43" ref="K115:R115">K116</f>
        <v>0</v>
      </c>
      <c r="L115" s="248">
        <f t="shared" si="43"/>
        <v>0</v>
      </c>
      <c r="M115" s="248">
        <f t="shared" si="43"/>
        <v>0</v>
      </c>
      <c r="N115" s="248">
        <f t="shared" si="43"/>
        <v>0</v>
      </c>
      <c r="O115" s="248">
        <f t="shared" si="43"/>
        <v>0</v>
      </c>
      <c r="P115" s="248">
        <f t="shared" si="43"/>
        <v>0</v>
      </c>
      <c r="Q115" s="248">
        <f t="shared" si="43"/>
        <v>0</v>
      </c>
      <c r="R115" s="248">
        <f t="shared" si="43"/>
        <v>0</v>
      </c>
    </row>
    <row r="116" spans="1:18" ht="11.25">
      <c r="A116" s="200" t="s">
        <v>44</v>
      </c>
      <c r="B116" s="201"/>
      <c r="C116" s="202"/>
      <c r="D116" s="138">
        <f t="shared" si="23"/>
        <v>53</v>
      </c>
      <c r="E116" s="138">
        <v>7</v>
      </c>
      <c r="F116" s="138">
        <v>1</v>
      </c>
      <c r="G116" s="139" t="s">
        <v>179</v>
      </c>
      <c r="H116" s="11">
        <v>244</v>
      </c>
      <c r="I116" s="9">
        <v>223</v>
      </c>
      <c r="J116" s="258">
        <f>кредиторка!F20</f>
        <v>22100</v>
      </c>
      <c r="K116" s="248">
        <f>'[1]кредиторка'!H17</f>
        <v>0</v>
      </c>
      <c r="L116" s="248">
        <f>'[1]кредиторка'!I17</f>
        <v>0</v>
      </c>
      <c r="M116" s="248">
        <f>'[1]кредиторка'!J17</f>
        <v>0</v>
      </c>
      <c r="N116" s="248">
        <f>'[1]кредиторка'!K17</f>
        <v>0</v>
      </c>
      <c r="O116" s="248">
        <f>'[1]кредиторка'!L17</f>
        <v>0</v>
      </c>
      <c r="P116" s="248">
        <f>'[1]кредиторка'!M17</f>
        <v>0</v>
      </c>
      <c r="Q116" s="248">
        <f>'[1]кредиторка'!N17</f>
        <v>0</v>
      </c>
      <c r="R116" s="248">
        <f>'[1]кредиторка'!O17</f>
        <v>0</v>
      </c>
    </row>
    <row r="117" spans="1:18" ht="21" customHeight="1">
      <c r="A117" s="276" t="s">
        <v>295</v>
      </c>
      <c r="B117" s="277"/>
      <c r="C117" s="278"/>
      <c r="D117" s="122">
        <f>D116+1</f>
        <v>54</v>
      </c>
      <c r="E117" s="122">
        <v>7</v>
      </c>
      <c r="F117" s="122">
        <v>3</v>
      </c>
      <c r="G117" s="123"/>
      <c r="H117" s="128"/>
      <c r="I117" s="149"/>
      <c r="J117" s="246">
        <f>J118</f>
        <v>11466</v>
      </c>
      <c r="K117" s="246">
        <f aca="true" t="shared" si="44" ref="K117:R117">K118</f>
        <v>0</v>
      </c>
      <c r="L117" s="246">
        <f t="shared" si="44"/>
        <v>0</v>
      </c>
      <c r="M117" s="246">
        <f t="shared" si="44"/>
        <v>11466</v>
      </c>
      <c r="N117" s="246">
        <f t="shared" si="44"/>
        <v>0</v>
      </c>
      <c r="O117" s="246">
        <f t="shared" si="44"/>
        <v>0</v>
      </c>
      <c r="P117" s="246">
        <f t="shared" si="44"/>
        <v>11466</v>
      </c>
      <c r="Q117" s="246">
        <f t="shared" si="44"/>
        <v>0</v>
      </c>
      <c r="R117" s="246">
        <f t="shared" si="44"/>
        <v>0</v>
      </c>
    </row>
    <row r="118" spans="1:18" ht="40.5" customHeight="1">
      <c r="A118" s="273" t="s">
        <v>180</v>
      </c>
      <c r="B118" s="274"/>
      <c r="C118" s="275"/>
      <c r="D118" s="241">
        <f t="shared" si="23"/>
        <v>55</v>
      </c>
      <c r="E118" s="241">
        <v>7</v>
      </c>
      <c r="F118" s="241">
        <v>3</v>
      </c>
      <c r="G118" s="242" t="s">
        <v>181</v>
      </c>
      <c r="H118" s="251"/>
      <c r="I118" s="252"/>
      <c r="J118" s="252">
        <f aca="true" t="shared" si="45" ref="J118:R120">J119</f>
        <v>11466</v>
      </c>
      <c r="K118" s="252">
        <f t="shared" si="45"/>
        <v>0</v>
      </c>
      <c r="L118" s="252">
        <f t="shared" si="45"/>
        <v>0</v>
      </c>
      <c r="M118" s="252">
        <f t="shared" si="45"/>
        <v>11466</v>
      </c>
      <c r="N118" s="252">
        <f t="shared" si="45"/>
        <v>0</v>
      </c>
      <c r="O118" s="252">
        <f t="shared" si="45"/>
        <v>0</v>
      </c>
      <c r="P118" s="252">
        <f t="shared" si="45"/>
        <v>11466</v>
      </c>
      <c r="Q118" s="252">
        <f t="shared" si="45"/>
        <v>0</v>
      </c>
      <c r="R118" s="252">
        <f t="shared" si="45"/>
        <v>0</v>
      </c>
    </row>
    <row r="119" spans="1:18" ht="45.75" customHeight="1">
      <c r="A119" s="276" t="s">
        <v>182</v>
      </c>
      <c r="B119" s="277"/>
      <c r="C119" s="278"/>
      <c r="D119" s="122">
        <f t="shared" si="23"/>
        <v>56</v>
      </c>
      <c r="E119" s="122">
        <v>7</v>
      </c>
      <c r="F119" s="122">
        <v>3</v>
      </c>
      <c r="G119" s="123" t="s">
        <v>218</v>
      </c>
      <c r="H119" s="128"/>
      <c r="I119" s="149"/>
      <c r="J119" s="150">
        <f>J120</f>
        <v>11466</v>
      </c>
      <c r="K119" s="149">
        <f t="shared" si="45"/>
        <v>0</v>
      </c>
      <c r="L119" s="149">
        <f t="shared" si="45"/>
        <v>0</v>
      </c>
      <c r="M119" s="149">
        <f t="shared" si="45"/>
        <v>11466</v>
      </c>
      <c r="N119" s="149">
        <f t="shared" si="45"/>
        <v>0</v>
      </c>
      <c r="O119" s="149">
        <f t="shared" si="45"/>
        <v>0</v>
      </c>
      <c r="P119" s="149">
        <f t="shared" si="45"/>
        <v>11466</v>
      </c>
      <c r="Q119" s="149">
        <f t="shared" si="45"/>
        <v>0</v>
      </c>
      <c r="R119" s="149">
        <f t="shared" si="45"/>
        <v>0</v>
      </c>
    </row>
    <row r="120" spans="1:18" ht="21" customHeight="1">
      <c r="A120" s="230" t="s">
        <v>219</v>
      </c>
      <c r="B120" s="195"/>
      <c r="C120" s="196"/>
      <c r="D120" s="132">
        <f t="shared" si="23"/>
        <v>57</v>
      </c>
      <c r="E120" s="132">
        <v>7</v>
      </c>
      <c r="F120" s="132">
        <v>3</v>
      </c>
      <c r="G120" s="133" t="s">
        <v>183</v>
      </c>
      <c r="H120" s="134"/>
      <c r="I120" s="137"/>
      <c r="J120" s="247">
        <f>J121</f>
        <v>11466</v>
      </c>
      <c r="K120" s="247">
        <f t="shared" si="45"/>
        <v>0</v>
      </c>
      <c r="L120" s="247">
        <f t="shared" si="45"/>
        <v>0</v>
      </c>
      <c r="M120" s="247">
        <f t="shared" si="45"/>
        <v>11466</v>
      </c>
      <c r="N120" s="247">
        <f t="shared" si="45"/>
        <v>0</v>
      </c>
      <c r="O120" s="247">
        <f t="shared" si="45"/>
        <v>0</v>
      </c>
      <c r="P120" s="247">
        <f t="shared" si="45"/>
        <v>11466</v>
      </c>
      <c r="Q120" s="247">
        <f t="shared" si="45"/>
        <v>0</v>
      </c>
      <c r="R120" s="247">
        <f t="shared" si="45"/>
        <v>0</v>
      </c>
    </row>
    <row r="121" spans="1:18" ht="55.5" customHeight="1">
      <c r="A121" s="230" t="s">
        <v>220</v>
      </c>
      <c r="B121" s="195"/>
      <c r="C121" s="196"/>
      <c r="D121" s="132">
        <f t="shared" si="23"/>
        <v>58</v>
      </c>
      <c r="E121" s="132">
        <v>7</v>
      </c>
      <c r="F121" s="132">
        <v>3</v>
      </c>
      <c r="G121" s="133" t="s">
        <v>221</v>
      </c>
      <c r="H121" s="134"/>
      <c r="I121" s="137"/>
      <c r="J121" s="247">
        <f>J122+J124</f>
        <v>11466</v>
      </c>
      <c r="K121" s="247">
        <f aca="true" t="shared" si="46" ref="K121:R121">K122+K124</f>
        <v>0</v>
      </c>
      <c r="L121" s="247">
        <f t="shared" si="46"/>
        <v>0</v>
      </c>
      <c r="M121" s="247">
        <f t="shared" si="46"/>
        <v>11466</v>
      </c>
      <c r="N121" s="247">
        <f t="shared" si="46"/>
        <v>0</v>
      </c>
      <c r="O121" s="247">
        <f t="shared" si="46"/>
        <v>0</v>
      </c>
      <c r="P121" s="247">
        <f t="shared" si="46"/>
        <v>11466</v>
      </c>
      <c r="Q121" s="247">
        <f t="shared" si="46"/>
        <v>0</v>
      </c>
      <c r="R121" s="247">
        <f t="shared" si="46"/>
        <v>0</v>
      </c>
    </row>
    <row r="122" spans="1:18" ht="11.25">
      <c r="A122" s="264" t="s">
        <v>36</v>
      </c>
      <c r="B122" s="265"/>
      <c r="C122" s="266"/>
      <c r="D122" s="156">
        <f t="shared" si="23"/>
        <v>59</v>
      </c>
      <c r="E122" s="156">
        <v>7</v>
      </c>
      <c r="F122" s="156">
        <v>3</v>
      </c>
      <c r="G122" s="157" t="s">
        <v>221</v>
      </c>
      <c r="H122" s="159">
        <v>240</v>
      </c>
      <c r="I122" s="177">
        <v>220</v>
      </c>
      <c r="J122" s="250">
        <f>J123</f>
        <v>10176</v>
      </c>
      <c r="K122" s="250">
        <f aca="true" t="shared" si="47" ref="K122:R122">K123</f>
        <v>0</v>
      </c>
      <c r="L122" s="250">
        <f t="shared" si="47"/>
        <v>0</v>
      </c>
      <c r="M122" s="250">
        <f t="shared" si="47"/>
        <v>10176</v>
      </c>
      <c r="N122" s="250">
        <f t="shared" si="47"/>
        <v>0</v>
      </c>
      <c r="O122" s="250">
        <f t="shared" si="47"/>
        <v>0</v>
      </c>
      <c r="P122" s="250">
        <f t="shared" si="47"/>
        <v>10176</v>
      </c>
      <c r="Q122" s="250">
        <f t="shared" si="47"/>
        <v>0</v>
      </c>
      <c r="R122" s="250">
        <f t="shared" si="47"/>
        <v>0</v>
      </c>
    </row>
    <row r="123" spans="1:18" ht="11.25">
      <c r="A123" s="270" t="s">
        <v>50</v>
      </c>
      <c r="B123" s="271"/>
      <c r="C123" s="272"/>
      <c r="D123" s="138">
        <f t="shared" si="23"/>
        <v>60</v>
      </c>
      <c r="E123" s="138">
        <v>7</v>
      </c>
      <c r="F123" s="138">
        <v>3</v>
      </c>
      <c r="G123" s="139" t="s">
        <v>221</v>
      </c>
      <c r="H123" s="11">
        <v>244</v>
      </c>
      <c r="I123" s="9">
        <v>226</v>
      </c>
      <c r="J123" s="258">
        <f>'фин грам 2019-2021'!F19</f>
        <v>10176</v>
      </c>
      <c r="K123" s="248"/>
      <c r="L123" s="248"/>
      <c r="M123" s="258">
        <f>J123</f>
        <v>10176</v>
      </c>
      <c r="N123" s="248"/>
      <c r="O123" s="248"/>
      <c r="P123" s="248">
        <f>M123</f>
        <v>10176</v>
      </c>
      <c r="Q123" s="248"/>
      <c r="R123" s="248"/>
    </row>
    <row r="124" spans="1:18" s="254" customFormat="1" ht="18" customHeight="1">
      <c r="A124" s="264" t="s">
        <v>52</v>
      </c>
      <c r="B124" s="265"/>
      <c r="C124" s="266"/>
      <c r="D124" s="156">
        <f t="shared" si="23"/>
        <v>61</v>
      </c>
      <c r="E124" s="156">
        <v>7</v>
      </c>
      <c r="F124" s="156">
        <v>3</v>
      </c>
      <c r="G124" s="157" t="s">
        <v>221</v>
      </c>
      <c r="H124" s="253">
        <v>240</v>
      </c>
      <c r="I124" s="253">
        <v>300</v>
      </c>
      <c r="J124" s="250">
        <f>J125+J126</f>
        <v>1290</v>
      </c>
      <c r="K124" s="250">
        <f aca="true" t="shared" si="48" ref="K124:R124">K125+K126</f>
        <v>0</v>
      </c>
      <c r="L124" s="250">
        <f t="shared" si="48"/>
        <v>0</v>
      </c>
      <c r="M124" s="250">
        <f t="shared" si="48"/>
        <v>1290</v>
      </c>
      <c r="N124" s="250">
        <f t="shared" si="48"/>
        <v>0</v>
      </c>
      <c r="O124" s="250">
        <f t="shared" si="48"/>
        <v>0</v>
      </c>
      <c r="P124" s="250">
        <f t="shared" si="48"/>
        <v>1290</v>
      </c>
      <c r="Q124" s="250">
        <f t="shared" si="48"/>
        <v>0</v>
      </c>
      <c r="R124" s="250">
        <f t="shared" si="48"/>
        <v>0</v>
      </c>
    </row>
    <row r="125" spans="1:18" ht="21.75" customHeight="1">
      <c r="A125" s="267" t="s">
        <v>53</v>
      </c>
      <c r="B125" s="268"/>
      <c r="C125" s="269"/>
      <c r="D125" s="138">
        <f t="shared" si="23"/>
        <v>62</v>
      </c>
      <c r="E125" s="138">
        <v>7</v>
      </c>
      <c r="F125" s="138">
        <v>3</v>
      </c>
      <c r="G125" s="139" t="s">
        <v>221</v>
      </c>
      <c r="H125" s="11">
        <v>244</v>
      </c>
      <c r="I125" s="234">
        <v>310</v>
      </c>
      <c r="J125" s="248"/>
      <c r="K125" s="248"/>
      <c r="L125" s="248"/>
      <c r="M125" s="248"/>
      <c r="N125" s="248"/>
      <c r="O125" s="248"/>
      <c r="P125" s="248"/>
      <c r="Q125" s="248"/>
      <c r="R125" s="248"/>
    </row>
    <row r="126" spans="1:18" ht="24" customHeight="1">
      <c r="A126" s="270" t="s">
        <v>54</v>
      </c>
      <c r="B126" s="271"/>
      <c r="C126" s="272"/>
      <c r="D126" s="138">
        <f t="shared" si="23"/>
        <v>63</v>
      </c>
      <c r="E126" s="138">
        <v>7</v>
      </c>
      <c r="F126" s="138">
        <v>3</v>
      </c>
      <c r="G126" s="139" t="s">
        <v>221</v>
      </c>
      <c r="H126" s="11">
        <v>244</v>
      </c>
      <c r="I126" s="234">
        <v>340</v>
      </c>
      <c r="J126" s="248">
        <f>J127</f>
        <v>1290</v>
      </c>
      <c r="K126" s="248">
        <f aca="true" t="shared" si="49" ref="K126:R126">K127</f>
        <v>0</v>
      </c>
      <c r="L126" s="248">
        <f t="shared" si="49"/>
        <v>0</v>
      </c>
      <c r="M126" s="248">
        <f t="shared" si="49"/>
        <v>1290</v>
      </c>
      <c r="N126" s="248">
        <f t="shared" si="49"/>
        <v>0</v>
      </c>
      <c r="O126" s="248">
        <f t="shared" si="49"/>
        <v>0</v>
      </c>
      <c r="P126" s="248">
        <f t="shared" si="49"/>
        <v>1290</v>
      </c>
      <c r="Q126" s="248">
        <f t="shared" si="49"/>
        <v>0</v>
      </c>
      <c r="R126" s="248">
        <f t="shared" si="49"/>
        <v>0</v>
      </c>
    </row>
    <row r="127" spans="1:18" ht="30" customHeight="1">
      <c r="A127" s="270" t="s">
        <v>288</v>
      </c>
      <c r="B127" s="271"/>
      <c r="C127" s="272"/>
      <c r="D127" s="138">
        <f t="shared" si="23"/>
        <v>64</v>
      </c>
      <c r="E127" s="138">
        <v>7</v>
      </c>
      <c r="F127" s="138">
        <v>3</v>
      </c>
      <c r="G127" s="139" t="s">
        <v>221</v>
      </c>
      <c r="H127" s="11">
        <v>244</v>
      </c>
      <c r="I127" s="234">
        <v>346</v>
      </c>
      <c r="J127" s="258">
        <f>'фин грам 2019-2021'!D35</f>
        <v>1290</v>
      </c>
      <c r="K127" s="248"/>
      <c r="L127" s="248"/>
      <c r="M127" s="258">
        <f>J127</f>
        <v>1290</v>
      </c>
      <c r="N127" s="248"/>
      <c r="O127" s="248"/>
      <c r="P127" s="248">
        <f>M127</f>
        <v>1290</v>
      </c>
      <c r="Q127" s="248"/>
      <c r="R127" s="248"/>
    </row>
    <row r="128" spans="3:18" ht="11.25">
      <c r="C128" s="206" t="s">
        <v>284</v>
      </c>
      <c r="E128" s="235"/>
      <c r="F128" s="235"/>
      <c r="G128" s="235"/>
      <c r="H128" s="235"/>
      <c r="I128" s="235"/>
      <c r="J128" s="255">
        <f>J64</f>
        <v>10112496</v>
      </c>
      <c r="K128" s="237" t="s">
        <v>285</v>
      </c>
      <c r="L128" s="237" t="s">
        <v>285</v>
      </c>
      <c r="M128" s="255">
        <f>M64</f>
        <v>10311506</v>
      </c>
      <c r="N128" s="237" t="s">
        <v>285</v>
      </c>
      <c r="O128" s="237" t="s">
        <v>285</v>
      </c>
      <c r="P128" s="255">
        <f>P64</f>
        <v>10211036</v>
      </c>
      <c r="Q128" s="237" t="s">
        <v>285</v>
      </c>
      <c r="R128" s="237" t="s">
        <v>285</v>
      </c>
    </row>
    <row r="129" spans="9:18" ht="11.25">
      <c r="I129" s="206" t="s">
        <v>286</v>
      </c>
      <c r="J129" s="255">
        <f>J128</f>
        <v>10112496</v>
      </c>
      <c r="K129" s="237" t="s">
        <v>285</v>
      </c>
      <c r="L129" s="237" t="s">
        <v>285</v>
      </c>
      <c r="M129" s="255">
        <f>M128</f>
        <v>10311506</v>
      </c>
      <c r="N129" s="237" t="s">
        <v>285</v>
      </c>
      <c r="O129" s="237" t="s">
        <v>285</v>
      </c>
      <c r="P129" s="255">
        <f>P128</f>
        <v>10211036</v>
      </c>
      <c r="Q129" s="237" t="s">
        <v>285</v>
      </c>
      <c r="R129" s="237" t="s">
        <v>285</v>
      </c>
    </row>
    <row r="130" spans="10:16" ht="11.25">
      <c r="J130" s="256"/>
      <c r="M130" s="256"/>
      <c r="P130" s="256"/>
    </row>
    <row r="131" spans="10:16" ht="15" customHeight="1">
      <c r="J131" s="256"/>
      <c r="M131" s="256"/>
      <c r="P131" s="256"/>
    </row>
    <row r="132" ht="15" customHeight="1">
      <c r="A132" s="206" t="s">
        <v>296</v>
      </c>
    </row>
    <row r="133" spans="1:15" ht="15" customHeight="1">
      <c r="A133" s="206" t="s">
        <v>297</v>
      </c>
      <c r="D133" s="257" t="s">
        <v>298</v>
      </c>
      <c r="E133" s="219"/>
      <c r="F133" s="219"/>
      <c r="H133" s="219"/>
      <c r="I133" s="219"/>
      <c r="J133" s="219"/>
      <c r="L133" s="257" t="s">
        <v>1</v>
      </c>
      <c r="M133" s="219"/>
      <c r="N133" s="219"/>
      <c r="O133" s="219"/>
    </row>
    <row r="134" spans="4:15" ht="15" customHeight="1">
      <c r="D134" s="263" t="s">
        <v>299</v>
      </c>
      <c r="E134" s="263"/>
      <c r="F134" s="263"/>
      <c r="H134" s="262" t="s">
        <v>258</v>
      </c>
      <c r="I134" s="262"/>
      <c r="J134" s="262"/>
      <c r="L134" s="262" t="s">
        <v>300</v>
      </c>
      <c r="M134" s="262"/>
      <c r="N134" s="262"/>
      <c r="O134" s="262"/>
    </row>
    <row r="135" ht="15" customHeight="1"/>
    <row r="136" ht="15" customHeight="1"/>
    <row r="137" spans="1:15" ht="15" customHeight="1">
      <c r="A137" s="206" t="s">
        <v>301</v>
      </c>
      <c r="D137" s="257" t="s">
        <v>302</v>
      </c>
      <c r="E137" s="219"/>
      <c r="F137" s="219"/>
      <c r="H137" s="219"/>
      <c r="I137" s="219"/>
      <c r="J137" s="219"/>
      <c r="L137" s="257" t="s">
        <v>56</v>
      </c>
      <c r="M137" s="219"/>
      <c r="N137" s="219"/>
      <c r="O137" s="219"/>
    </row>
    <row r="138" spans="4:15" ht="15" customHeight="1">
      <c r="D138" s="263" t="s">
        <v>299</v>
      </c>
      <c r="E138" s="263"/>
      <c r="F138" s="263"/>
      <c r="H138" s="262" t="s">
        <v>258</v>
      </c>
      <c r="I138" s="262"/>
      <c r="J138" s="262"/>
      <c r="L138" s="262" t="s">
        <v>300</v>
      </c>
      <c r="M138" s="262"/>
      <c r="N138" s="262"/>
      <c r="O138" s="262"/>
    </row>
    <row r="139" ht="15" customHeight="1"/>
    <row r="140" spans="1:4" ht="15" customHeight="1">
      <c r="A140" s="212" t="s">
        <v>260</v>
      </c>
      <c r="B140" s="213"/>
      <c r="C140" s="214"/>
      <c r="D140" s="214" t="s">
        <v>261</v>
      </c>
    </row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15">
    <mergeCell ref="A19:J19"/>
    <mergeCell ref="M19:N19"/>
    <mergeCell ref="I2:N2"/>
    <mergeCell ref="I4:N4"/>
    <mergeCell ref="I6:N6"/>
    <mergeCell ref="I8:N8"/>
    <mergeCell ref="L10:N10"/>
    <mergeCell ref="I11:K11"/>
    <mergeCell ref="L11:N11"/>
    <mergeCell ref="A17:J17"/>
    <mergeCell ref="M17:N17"/>
    <mergeCell ref="A18:J18"/>
    <mergeCell ref="M18:N18"/>
    <mergeCell ref="E31:E32"/>
    <mergeCell ref="G31:I31"/>
    <mergeCell ref="M20:N20"/>
    <mergeCell ref="M21:N21"/>
    <mergeCell ref="E22:J22"/>
    <mergeCell ref="M22:N22"/>
    <mergeCell ref="F23:J23"/>
    <mergeCell ref="M23:N23"/>
    <mergeCell ref="E61:E62"/>
    <mergeCell ref="F61:F62"/>
    <mergeCell ref="M24:N24"/>
    <mergeCell ref="A28:N28"/>
    <mergeCell ref="B30:E30"/>
    <mergeCell ref="F30:F32"/>
    <mergeCell ref="G30:O30"/>
    <mergeCell ref="B31:B32"/>
    <mergeCell ref="C31:C32"/>
    <mergeCell ref="D31:D32"/>
    <mergeCell ref="P61:R61"/>
    <mergeCell ref="A63:C63"/>
    <mergeCell ref="J31:L31"/>
    <mergeCell ref="M31:O31"/>
    <mergeCell ref="A58:R58"/>
    <mergeCell ref="A60:C62"/>
    <mergeCell ref="D60:D62"/>
    <mergeCell ref="E60:H60"/>
    <mergeCell ref="I60:I62"/>
    <mergeCell ref="J60:R60"/>
    <mergeCell ref="G61:G62"/>
    <mergeCell ref="H61:H62"/>
    <mergeCell ref="J61:L61"/>
    <mergeCell ref="M61:O61"/>
    <mergeCell ref="A74:C74"/>
    <mergeCell ref="A75:C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6:C86"/>
    <mergeCell ref="A87:C87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98:C98"/>
    <mergeCell ref="A99:C99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22:C122"/>
    <mergeCell ref="A123:C123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4:C124"/>
    <mergeCell ref="A125:C125"/>
    <mergeCell ref="A126:C126"/>
    <mergeCell ref="A127:C127"/>
    <mergeCell ref="L134:O134"/>
    <mergeCell ref="D138:F138"/>
    <mergeCell ref="H138:J138"/>
    <mergeCell ref="L138:O138"/>
    <mergeCell ref="D134:F134"/>
    <mergeCell ref="H134:J134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B1:I42"/>
  <sheetViews>
    <sheetView showGridLines="0" zoomScalePageLayoutView="0" workbookViewId="0" topLeftCell="A16">
      <selection activeCell="D1" sqref="D1:G3"/>
    </sheetView>
  </sheetViews>
  <sheetFormatPr defaultColWidth="9.140625" defaultRowHeight="12.75" outlineLevelRow="1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0.28125" style="12" customWidth="1"/>
    <col min="8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8.5" customHeight="1">
      <c r="E3" s="12" t="s">
        <v>237</v>
      </c>
    </row>
    <row r="4" ht="14.25" customHeight="1"/>
    <row r="6" ht="5.25" customHeight="1"/>
    <row r="7" spans="2:6" ht="12.75">
      <c r="B7" s="334" t="s">
        <v>58</v>
      </c>
      <c r="C7" s="334"/>
      <c r="D7" s="334"/>
      <c r="E7" s="334"/>
      <c r="F7" s="334"/>
    </row>
    <row r="8" spans="2:6" ht="12.75">
      <c r="B8" s="334" t="s">
        <v>246</v>
      </c>
      <c r="C8" s="334"/>
      <c r="D8" s="334"/>
      <c r="E8" s="334"/>
      <c r="F8" s="334"/>
    </row>
    <row r="9" ht="15" customHeight="1"/>
    <row r="10" ht="12" customHeight="1"/>
    <row r="11" spans="2:6" ht="12.75" customHeight="1">
      <c r="B11" s="340" t="s">
        <v>129</v>
      </c>
      <c r="C11" s="340"/>
      <c r="D11" s="340"/>
      <c r="E11" s="340"/>
      <c r="F11" s="340"/>
    </row>
    <row r="12" spans="2:4" ht="12.75">
      <c r="B12" s="24"/>
      <c r="C12" s="24"/>
      <c r="D12" s="24"/>
    </row>
    <row r="13" spans="2:6" ht="47.25" customHeight="1">
      <c r="B13" s="22" t="s">
        <v>60</v>
      </c>
      <c r="C13" s="23" t="s">
        <v>61</v>
      </c>
      <c r="D13" s="23" t="s">
        <v>130</v>
      </c>
      <c r="E13" s="23" t="s">
        <v>131</v>
      </c>
      <c r="F13" s="23" t="s">
        <v>116</v>
      </c>
    </row>
    <row r="14" spans="2:6" s="66" customFormat="1" ht="12">
      <c r="B14" s="63">
        <v>1</v>
      </c>
      <c r="C14" s="63">
        <v>2</v>
      </c>
      <c r="D14" s="63">
        <v>3</v>
      </c>
      <c r="E14" s="65">
        <v>4</v>
      </c>
      <c r="F14" s="65">
        <v>5</v>
      </c>
    </row>
    <row r="15" spans="2:6" ht="27.75" customHeight="1">
      <c r="B15" s="25">
        <v>1</v>
      </c>
      <c r="C15" s="44" t="s">
        <v>132</v>
      </c>
      <c r="D15" s="40">
        <v>318</v>
      </c>
      <c r="E15" s="49">
        <v>32</v>
      </c>
      <c r="F15" s="34">
        <f>D15*E15</f>
        <v>10176</v>
      </c>
    </row>
    <row r="16" spans="2:6" ht="12.75">
      <c r="B16" s="25"/>
      <c r="C16" s="44" t="s">
        <v>247</v>
      </c>
      <c r="D16" s="40"/>
      <c r="E16" s="49"/>
      <c r="F16" s="34"/>
    </row>
    <row r="17" spans="2:6" ht="12.75">
      <c r="B17" s="25"/>
      <c r="C17" s="44" t="s">
        <v>248</v>
      </c>
      <c r="D17" s="40">
        <v>318</v>
      </c>
      <c r="E17" s="49">
        <v>16</v>
      </c>
      <c r="F17" s="34">
        <f>D17*E17</f>
        <v>5088</v>
      </c>
    </row>
    <row r="18" spans="2:6" ht="12.75" customHeight="1">
      <c r="B18" s="25"/>
      <c r="C18" s="44" t="s">
        <v>249</v>
      </c>
      <c r="D18" s="40">
        <v>318</v>
      </c>
      <c r="E18" s="49">
        <v>16</v>
      </c>
      <c r="F18" s="34">
        <f>D18*E18</f>
        <v>5088</v>
      </c>
    </row>
    <row r="19" spans="2:6" ht="12.75" customHeight="1">
      <c r="B19" s="25"/>
      <c r="C19" s="53" t="s">
        <v>82</v>
      </c>
      <c r="D19" s="38"/>
      <c r="E19" s="34"/>
      <c r="F19" s="78">
        <f>F15</f>
        <v>10176</v>
      </c>
    </row>
    <row r="21" spans="2:6" ht="12.75" outlineLevel="1">
      <c r="B21" s="340" t="s">
        <v>119</v>
      </c>
      <c r="C21" s="340"/>
      <c r="D21" s="340"/>
      <c r="E21" s="340"/>
      <c r="F21" s="340"/>
    </row>
    <row r="22" spans="2:4" ht="12.75" outlineLevel="1">
      <c r="B22" s="24"/>
      <c r="C22" s="24"/>
      <c r="D22" s="24"/>
    </row>
    <row r="23" spans="2:7" ht="48.75" customHeight="1" outlineLevel="1">
      <c r="B23" s="22" t="s">
        <v>60</v>
      </c>
      <c r="C23" s="23" t="s">
        <v>61</v>
      </c>
      <c r="D23" s="23" t="s">
        <v>115</v>
      </c>
      <c r="E23" s="23" t="s">
        <v>80</v>
      </c>
      <c r="F23" s="339" t="s">
        <v>116</v>
      </c>
      <c r="G23" s="339"/>
    </row>
    <row r="24" spans="2:7" ht="12.75" outlineLevel="1">
      <c r="B24" s="17">
        <v>1</v>
      </c>
      <c r="C24" s="17">
        <v>2</v>
      </c>
      <c r="D24" s="17">
        <v>3</v>
      </c>
      <c r="E24" s="49">
        <v>4</v>
      </c>
      <c r="F24" s="360">
        <v>5</v>
      </c>
      <c r="G24" s="361"/>
    </row>
    <row r="25" spans="2:7" ht="12.75" outlineLevel="1">
      <c r="B25" s="25">
        <v>1</v>
      </c>
      <c r="C25" s="44" t="s">
        <v>250</v>
      </c>
      <c r="D25" s="56"/>
      <c r="E25" s="49"/>
      <c r="F25" s="362">
        <v>0</v>
      </c>
      <c r="G25" s="363"/>
    </row>
    <row r="26" spans="2:7" ht="12.75" outlineLevel="1">
      <c r="B26" s="25"/>
      <c r="C26" s="44"/>
      <c r="D26" s="56"/>
      <c r="E26" s="49"/>
      <c r="F26" s="362"/>
      <c r="G26" s="363"/>
    </row>
    <row r="27" spans="2:9" ht="12.75" customHeight="1" outlineLevel="1">
      <c r="B27" s="25"/>
      <c r="C27" s="53" t="s">
        <v>2</v>
      </c>
      <c r="D27" s="55"/>
      <c r="E27" s="78"/>
      <c r="F27" s="364">
        <f>F25+F26</f>
        <v>0</v>
      </c>
      <c r="G27" s="365"/>
      <c r="I27" s="85"/>
    </row>
    <row r="29" spans="2:7" ht="27.75" customHeight="1">
      <c r="B29" s="340" t="s">
        <v>251</v>
      </c>
      <c r="C29" s="340"/>
      <c r="D29" s="340"/>
      <c r="E29" s="340"/>
      <c r="F29" s="340"/>
      <c r="G29" s="340"/>
    </row>
    <row r="30" spans="2:4" ht="12.75">
      <c r="B30" s="24"/>
      <c r="C30" s="24"/>
      <c r="D30" s="24"/>
    </row>
    <row r="31" spans="2:4" ht="40.5" customHeight="1">
      <c r="B31" s="22" t="s">
        <v>60</v>
      </c>
      <c r="C31" s="23" t="s">
        <v>61</v>
      </c>
      <c r="D31" s="23" t="s">
        <v>62</v>
      </c>
    </row>
    <row r="32" spans="2:6" ht="12.75">
      <c r="B32" s="17">
        <v>1</v>
      </c>
      <c r="C32" s="17">
        <v>2</v>
      </c>
      <c r="D32" s="17">
        <v>4</v>
      </c>
      <c r="E32" s="343"/>
      <c r="F32" s="334"/>
    </row>
    <row r="33" spans="2:9" ht="24.75" customHeight="1">
      <c r="B33" s="113">
        <v>1</v>
      </c>
      <c r="C33" s="44" t="s">
        <v>252</v>
      </c>
      <c r="D33" s="45">
        <v>1290</v>
      </c>
      <c r="F33" s="344"/>
      <c r="G33" s="344"/>
      <c r="I33" s="85"/>
    </row>
    <row r="34" spans="2:4" ht="12.75">
      <c r="B34" s="25"/>
      <c r="C34" s="44"/>
      <c r="D34" s="56"/>
    </row>
    <row r="35" spans="2:4" ht="12.75" customHeight="1">
      <c r="B35" s="25"/>
      <c r="C35" s="53" t="s">
        <v>2</v>
      </c>
      <c r="D35" s="55">
        <f>D33</f>
        <v>1290</v>
      </c>
    </row>
    <row r="37" spans="2:4" ht="12.75">
      <c r="B37" s="26"/>
      <c r="C37" s="27"/>
      <c r="D37" s="13"/>
    </row>
    <row r="38" spans="2:4" ht="12.75">
      <c r="B38" s="350" t="s">
        <v>198</v>
      </c>
      <c r="C38" s="350"/>
      <c r="D38" s="87">
        <f>F19+F27+D35</f>
        <v>11466</v>
      </c>
    </row>
    <row r="39" spans="2:4" ht="12.75">
      <c r="B39" s="26"/>
      <c r="C39" s="27"/>
      <c r="D39" s="13"/>
    </row>
    <row r="40" spans="2:4" ht="12.75">
      <c r="B40" s="12" t="s">
        <v>85</v>
      </c>
      <c r="D40" s="12" t="s">
        <v>1</v>
      </c>
    </row>
    <row r="42" spans="2:4" ht="12.75">
      <c r="B42" s="12" t="s">
        <v>86</v>
      </c>
      <c r="D42" s="12" t="s">
        <v>56</v>
      </c>
    </row>
  </sheetData>
  <sheetProtection/>
  <mergeCells count="15">
    <mergeCell ref="B11:F11"/>
    <mergeCell ref="B21:F21"/>
    <mergeCell ref="D1:G1"/>
    <mergeCell ref="D2:G2"/>
    <mergeCell ref="B7:F7"/>
    <mergeCell ref="B8:F8"/>
    <mergeCell ref="E32:F32"/>
    <mergeCell ref="F33:G33"/>
    <mergeCell ref="B38:C38"/>
    <mergeCell ref="F23:G23"/>
    <mergeCell ref="F24:G24"/>
    <mergeCell ref="F25:G25"/>
    <mergeCell ref="F26:G26"/>
    <mergeCell ref="F27:G27"/>
    <mergeCell ref="B29:G29"/>
  </mergeCells>
  <printOptions/>
  <pageMargins left="0.5905511811023623" right="0" top="0.3937007874015748" bottom="0.3937007874015748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="120" zoomScaleNormal="120" zoomScalePageLayoutView="0" workbookViewId="0" topLeftCell="A105">
      <selection activeCell="A105" sqref="A1:IV16384"/>
    </sheetView>
  </sheetViews>
  <sheetFormatPr defaultColWidth="9.140625" defaultRowHeight="12.75"/>
  <cols>
    <col min="1" max="1" width="29.00390625" style="16" customWidth="1"/>
    <col min="2" max="2" width="5.57421875" style="96" customWidth="1"/>
    <col min="3" max="3" width="4.140625" style="16" customWidth="1"/>
    <col min="4" max="4" width="4.57421875" style="16" customWidth="1"/>
    <col min="5" max="5" width="9.140625" style="16" customWidth="1"/>
    <col min="6" max="6" width="6.8515625" style="16" customWidth="1"/>
    <col min="7" max="8" width="6.140625" style="16" customWidth="1"/>
    <col min="9" max="9" width="9.421875" style="16" customWidth="1"/>
    <col min="10" max="10" width="5.8515625" style="16" customWidth="1"/>
    <col min="11" max="11" width="9.28125" style="16" customWidth="1"/>
    <col min="12" max="12" width="9.57421875" style="16" customWidth="1"/>
    <col min="13" max="13" width="9.28125" style="16" customWidth="1"/>
    <col min="14" max="14" width="12.421875" style="16" customWidth="1"/>
    <col min="15" max="15" width="4.00390625" style="16" customWidth="1"/>
    <col min="16" max="16" width="16.8515625" style="16" customWidth="1"/>
    <col min="17" max="16384" width="9.140625" style="16" customWidth="1"/>
  </cols>
  <sheetData>
    <row r="1" spans="1:12" ht="12.75">
      <c r="A1" s="41" t="s">
        <v>104</v>
      </c>
      <c r="G1" s="8"/>
      <c r="H1" s="8"/>
      <c r="I1" s="8"/>
      <c r="J1" s="330" t="s">
        <v>4</v>
      </c>
      <c r="K1" s="330"/>
      <c r="L1" s="330"/>
    </row>
    <row r="2" spans="1:12" ht="56.25" customHeight="1">
      <c r="A2" s="42" t="s">
        <v>148</v>
      </c>
      <c r="G2" s="169"/>
      <c r="H2" s="169"/>
      <c r="I2" s="169"/>
      <c r="J2" s="331" t="s">
        <v>122</v>
      </c>
      <c r="K2" s="331"/>
      <c r="L2" s="331"/>
    </row>
    <row r="3" spans="1:12" ht="28.5" customHeight="1">
      <c r="A3" s="43" t="s">
        <v>149</v>
      </c>
      <c r="G3" s="8"/>
      <c r="H3" s="8"/>
      <c r="I3" s="8" t="s">
        <v>88</v>
      </c>
      <c r="K3" s="14"/>
      <c r="L3" s="14"/>
    </row>
    <row r="4" spans="6:12" ht="12.75">
      <c r="F4" s="8"/>
      <c r="G4" s="8"/>
      <c r="H4" s="8"/>
      <c r="I4" s="8"/>
      <c r="J4" s="8"/>
      <c r="K4" s="14"/>
      <c r="L4" s="14"/>
    </row>
    <row r="5" spans="1:12" ht="12.75">
      <c r="A5" s="1" t="s">
        <v>5</v>
      </c>
      <c r="G5" s="3"/>
      <c r="H5" s="3"/>
      <c r="I5" s="1" t="s">
        <v>5</v>
      </c>
      <c r="J5" s="3"/>
      <c r="K5" s="3"/>
      <c r="L5" s="3"/>
    </row>
    <row r="6" spans="7:12" ht="12.75">
      <c r="G6" s="1"/>
      <c r="H6" s="1"/>
      <c r="I6" s="2"/>
      <c r="J6" s="2"/>
      <c r="K6" s="2"/>
      <c r="L6" s="2"/>
    </row>
    <row r="7" ht="8.25" customHeight="1">
      <c r="L7" s="3" t="s">
        <v>6</v>
      </c>
    </row>
    <row r="8" spans="10:12" ht="0.75" customHeight="1">
      <c r="J8" s="322" t="s">
        <v>7</v>
      </c>
      <c r="K8" s="323"/>
      <c r="L8" s="162">
        <v>501012</v>
      </c>
    </row>
    <row r="9" spans="10:12" ht="12.75">
      <c r="J9" s="322"/>
      <c r="K9" s="323"/>
      <c r="L9" s="162"/>
    </row>
    <row r="10" spans="10:12" ht="12.75" customHeight="1" hidden="1">
      <c r="J10" s="322" t="s">
        <v>8</v>
      </c>
      <c r="K10" s="323"/>
      <c r="L10" s="162"/>
    </row>
    <row r="11" spans="1:12" ht="12.75">
      <c r="A11" s="329" t="s">
        <v>195</v>
      </c>
      <c r="B11" s="329"/>
      <c r="C11" s="329"/>
      <c r="D11" s="329"/>
      <c r="E11" s="329"/>
      <c r="F11" s="329"/>
      <c r="G11" s="329"/>
      <c r="J11" s="322"/>
      <c r="K11" s="323"/>
      <c r="L11" s="162"/>
    </row>
    <row r="12" spans="1:12" ht="18.75" customHeight="1">
      <c r="A12" s="332" t="s">
        <v>202</v>
      </c>
      <c r="B12" s="332"/>
      <c r="C12" s="332"/>
      <c r="D12" s="332"/>
      <c r="E12" s="332"/>
      <c r="F12" s="332"/>
      <c r="G12" s="332"/>
      <c r="J12" s="322" t="s">
        <v>9</v>
      </c>
      <c r="K12" s="323"/>
      <c r="L12" s="162"/>
    </row>
    <row r="13" spans="1:12" ht="0.75" customHeight="1">
      <c r="A13" s="3"/>
      <c r="B13" s="57"/>
      <c r="C13" s="3"/>
      <c r="D13" s="3"/>
      <c r="E13" s="3"/>
      <c r="F13" s="3"/>
      <c r="G13" s="3"/>
      <c r="J13" s="322"/>
      <c r="K13" s="323"/>
      <c r="L13" s="162"/>
    </row>
    <row r="14" spans="1:12" ht="15.75" customHeight="1">
      <c r="A14" s="3" t="s">
        <v>10</v>
      </c>
      <c r="B14" s="325" t="s">
        <v>124</v>
      </c>
      <c r="C14" s="325"/>
      <c r="D14" s="325"/>
      <c r="E14" s="325"/>
      <c r="F14" s="325"/>
      <c r="G14" s="325"/>
      <c r="J14" s="322" t="s">
        <v>11</v>
      </c>
      <c r="K14" s="323"/>
      <c r="L14" s="162"/>
    </row>
    <row r="15" spans="1:12" ht="12.75" customHeight="1" hidden="1">
      <c r="A15" s="3"/>
      <c r="B15" s="57"/>
      <c r="C15" s="4"/>
      <c r="D15" s="4"/>
      <c r="E15" s="4"/>
      <c r="F15" s="4"/>
      <c r="G15" s="4"/>
      <c r="J15" s="322"/>
      <c r="K15" s="323"/>
      <c r="L15" s="162"/>
    </row>
    <row r="16" spans="1:12" ht="12" customHeight="1">
      <c r="A16" s="3" t="s">
        <v>12</v>
      </c>
      <c r="B16" s="325" t="s">
        <v>89</v>
      </c>
      <c r="C16" s="325"/>
      <c r="D16" s="325"/>
      <c r="E16" s="325"/>
      <c r="F16" s="325"/>
      <c r="G16" s="325"/>
      <c r="J16" s="322" t="s">
        <v>11</v>
      </c>
      <c r="K16" s="323"/>
      <c r="L16" s="162"/>
    </row>
    <row r="17" spans="1:12" ht="12.75" customHeight="1" hidden="1">
      <c r="A17" s="3"/>
      <c r="B17" s="57"/>
      <c r="C17" s="4"/>
      <c r="D17" s="4"/>
      <c r="E17" s="4"/>
      <c r="F17" s="4"/>
      <c r="G17" s="4"/>
      <c r="J17" s="322"/>
      <c r="K17" s="323"/>
      <c r="L17" s="162"/>
    </row>
    <row r="18" spans="1:12" ht="15.75" customHeight="1">
      <c r="A18" s="3" t="s">
        <v>13</v>
      </c>
      <c r="B18" s="325" t="s">
        <v>89</v>
      </c>
      <c r="C18" s="325"/>
      <c r="D18" s="325"/>
      <c r="E18" s="325"/>
      <c r="F18" s="325"/>
      <c r="G18" s="325"/>
      <c r="J18" s="322" t="s">
        <v>14</v>
      </c>
      <c r="K18" s="323"/>
      <c r="L18" s="162"/>
    </row>
    <row r="19" spans="1:12" ht="0.75" customHeight="1">
      <c r="A19" s="3"/>
      <c r="B19" s="57"/>
      <c r="C19" s="4"/>
      <c r="D19" s="4"/>
      <c r="E19" s="4"/>
      <c r="F19" s="4"/>
      <c r="G19" s="4"/>
      <c r="J19" s="322"/>
      <c r="K19" s="323"/>
      <c r="L19" s="162"/>
    </row>
    <row r="20" spans="1:12" ht="16.5" customHeight="1">
      <c r="A20" s="3" t="s">
        <v>15</v>
      </c>
      <c r="B20" s="57"/>
      <c r="C20" s="4"/>
      <c r="D20" s="4"/>
      <c r="E20" s="4"/>
      <c r="F20" s="4"/>
      <c r="G20" s="4"/>
      <c r="J20" s="322" t="s">
        <v>16</v>
      </c>
      <c r="K20" s="323"/>
      <c r="L20" s="162"/>
    </row>
    <row r="21" spans="1:12" ht="0.75" customHeight="1">
      <c r="A21" s="3"/>
      <c r="B21" s="57"/>
      <c r="C21" s="4"/>
      <c r="D21" s="4"/>
      <c r="E21" s="4"/>
      <c r="F21" s="4"/>
      <c r="G21" s="4"/>
      <c r="J21" s="322"/>
      <c r="K21" s="323"/>
      <c r="L21" s="162"/>
    </row>
    <row r="22" spans="1:12" ht="12.75">
      <c r="A22" s="3" t="s">
        <v>17</v>
      </c>
      <c r="B22" s="328" t="s">
        <v>18</v>
      </c>
      <c r="C22" s="328"/>
      <c r="D22" s="328"/>
      <c r="E22" s="328"/>
      <c r="F22" s="328"/>
      <c r="G22" s="328"/>
      <c r="J22" s="322" t="s">
        <v>19</v>
      </c>
      <c r="K22" s="323"/>
      <c r="L22" s="162">
        <v>383</v>
      </c>
    </row>
    <row r="23" spans="10:12" ht="0.75" customHeight="1">
      <c r="J23" s="322"/>
      <c r="K23" s="323"/>
      <c r="L23" s="162"/>
    </row>
    <row r="24" spans="4:12" ht="12.75">
      <c r="D24" s="5"/>
      <c r="J24" s="322" t="s">
        <v>20</v>
      </c>
      <c r="K24" s="323"/>
      <c r="L24" s="162"/>
    </row>
    <row r="25" spans="10:12" ht="0.75" customHeight="1">
      <c r="J25" s="322"/>
      <c r="K25" s="323"/>
      <c r="L25" s="162"/>
    </row>
    <row r="26" ht="5.25" customHeight="1"/>
    <row r="27" spans="1:14" ht="12.75" customHeight="1">
      <c r="A27" s="326" t="s">
        <v>21</v>
      </c>
      <c r="B27" s="326" t="s">
        <v>22</v>
      </c>
      <c r="C27" s="326" t="s">
        <v>23</v>
      </c>
      <c r="D27" s="326"/>
      <c r="E27" s="326"/>
      <c r="F27" s="326"/>
      <c r="G27" s="326"/>
      <c r="H27" s="326"/>
      <c r="I27" s="326" t="s">
        <v>0</v>
      </c>
      <c r="J27" s="327"/>
      <c r="K27" s="324" t="s">
        <v>92</v>
      </c>
      <c r="L27" s="324" t="s">
        <v>93</v>
      </c>
      <c r="M27" s="97"/>
      <c r="N27" s="97"/>
    </row>
    <row r="28" spans="1:14" ht="42">
      <c r="A28" s="326"/>
      <c r="B28" s="326"/>
      <c r="C28" s="20" t="s">
        <v>24</v>
      </c>
      <c r="D28" s="20" t="s">
        <v>25</v>
      </c>
      <c r="E28" s="19" t="s">
        <v>26</v>
      </c>
      <c r="F28" s="20" t="s">
        <v>27</v>
      </c>
      <c r="G28" s="20" t="s">
        <v>28</v>
      </c>
      <c r="H28" s="20" t="s">
        <v>29</v>
      </c>
      <c r="I28" s="20" t="s">
        <v>30</v>
      </c>
      <c r="J28" s="21" t="s">
        <v>31</v>
      </c>
      <c r="K28" s="324"/>
      <c r="L28" s="324"/>
      <c r="M28" s="97"/>
      <c r="N28" s="97"/>
    </row>
    <row r="29" spans="1:14" ht="13.5" customHeight="1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  <c r="I29" s="6">
        <v>9</v>
      </c>
      <c r="J29" s="15">
        <v>10</v>
      </c>
      <c r="K29" s="6"/>
      <c r="L29" s="6"/>
      <c r="M29" s="97"/>
      <c r="N29" s="97"/>
    </row>
    <row r="30" spans="1:14" s="171" customFormat="1" ht="13.5" customHeight="1">
      <c r="A30" s="79" t="s">
        <v>203</v>
      </c>
      <c r="B30" s="28">
        <v>1</v>
      </c>
      <c r="C30" s="79"/>
      <c r="D30" s="79"/>
      <c r="E30" s="79"/>
      <c r="F30" s="79"/>
      <c r="G30" s="79"/>
      <c r="H30" s="79"/>
      <c r="I30" s="191" t="e">
        <f>I31+I106</f>
        <v>#REF!</v>
      </c>
      <c r="J30" s="191"/>
      <c r="K30" s="191" t="e">
        <f>K31+K106</f>
        <v>#REF!</v>
      </c>
      <c r="L30" s="191" t="e">
        <f>L31+L106</f>
        <v>#REF!</v>
      </c>
      <c r="M30" s="170"/>
      <c r="N30" s="170"/>
    </row>
    <row r="31" spans="1:14" s="32" customFormat="1" ht="13.5" customHeight="1">
      <c r="A31" s="79" t="s">
        <v>121</v>
      </c>
      <c r="B31" s="28">
        <f>B30+1</f>
        <v>2</v>
      </c>
      <c r="C31" s="28">
        <v>7</v>
      </c>
      <c r="D31" s="37">
        <v>1</v>
      </c>
      <c r="E31" s="29"/>
      <c r="F31" s="29"/>
      <c r="G31" s="29"/>
      <c r="H31" s="29"/>
      <c r="I31" s="83" t="e">
        <f>I32+I41+I100</f>
        <v>#REF!</v>
      </c>
      <c r="J31" s="83"/>
      <c r="K31" s="83" t="e">
        <f>K32+K41</f>
        <v>#REF!</v>
      </c>
      <c r="L31" s="83" t="e">
        <f>L32+L41</f>
        <v>#REF!</v>
      </c>
      <c r="M31" s="31"/>
      <c r="N31" s="192"/>
    </row>
    <row r="32" spans="1:14" s="82" customFormat="1" ht="38.25" customHeight="1">
      <c r="A32" s="88" t="s">
        <v>189</v>
      </c>
      <c r="B32" s="89">
        <f aca="true" t="shared" si="0" ref="B32:B45">B31+1</f>
        <v>3</v>
      </c>
      <c r="C32" s="89">
        <v>7</v>
      </c>
      <c r="D32" s="89">
        <v>1</v>
      </c>
      <c r="E32" s="121" t="s">
        <v>190</v>
      </c>
      <c r="F32" s="90"/>
      <c r="G32" s="90"/>
      <c r="H32" s="90"/>
      <c r="I32" s="98" t="e">
        <f>I34</f>
        <v>#REF!</v>
      </c>
      <c r="J32" s="98"/>
      <c r="K32" s="98">
        <f>K34</f>
        <v>0</v>
      </c>
      <c r="L32" s="98">
        <f>L34</f>
        <v>0</v>
      </c>
      <c r="M32" s="81"/>
      <c r="N32" s="81"/>
    </row>
    <row r="33" spans="1:14" s="131" customFormat="1" ht="46.5" customHeight="1">
      <c r="A33" s="127" t="s">
        <v>191</v>
      </c>
      <c r="B33" s="122">
        <v>3</v>
      </c>
      <c r="C33" s="122">
        <v>7</v>
      </c>
      <c r="D33" s="122">
        <v>1</v>
      </c>
      <c r="E33" s="123" t="s">
        <v>192</v>
      </c>
      <c r="F33" s="128"/>
      <c r="G33" s="128"/>
      <c r="H33" s="128"/>
      <c r="I33" s="129" t="e">
        <f>I34</f>
        <v>#REF!</v>
      </c>
      <c r="J33" s="129"/>
      <c r="K33" s="129">
        <f>K34</f>
        <v>0</v>
      </c>
      <c r="L33" s="129">
        <f>L34</f>
        <v>0</v>
      </c>
      <c r="M33" s="130"/>
      <c r="N33" s="130"/>
    </row>
    <row r="34" spans="1:14" s="131" customFormat="1" ht="29.25" customHeight="1">
      <c r="A34" s="91" t="s">
        <v>175</v>
      </c>
      <c r="B34" s="132">
        <v>4</v>
      </c>
      <c r="C34" s="132">
        <v>7</v>
      </c>
      <c r="D34" s="132">
        <v>1</v>
      </c>
      <c r="E34" s="133" t="s">
        <v>193</v>
      </c>
      <c r="F34" s="134"/>
      <c r="G34" s="134"/>
      <c r="H34" s="134"/>
      <c r="I34" s="135" t="e">
        <f>I35</f>
        <v>#REF!</v>
      </c>
      <c r="J34" s="136"/>
      <c r="K34" s="134"/>
      <c r="L34" s="134"/>
      <c r="M34" s="130"/>
      <c r="N34" s="130"/>
    </row>
    <row r="35" spans="1:14" s="131" customFormat="1" ht="18.75">
      <c r="A35" s="91" t="s">
        <v>176</v>
      </c>
      <c r="B35" s="132">
        <f t="shared" si="0"/>
        <v>5</v>
      </c>
      <c r="C35" s="132">
        <v>7</v>
      </c>
      <c r="D35" s="132">
        <v>1</v>
      </c>
      <c r="E35" s="133" t="s">
        <v>194</v>
      </c>
      <c r="F35" s="134"/>
      <c r="G35" s="134"/>
      <c r="H35" s="134"/>
      <c r="I35" s="135" t="e">
        <f>I36+I38</f>
        <v>#REF!</v>
      </c>
      <c r="J35" s="136"/>
      <c r="K35" s="134"/>
      <c r="L35" s="134"/>
      <c r="M35" s="130"/>
      <c r="N35" s="130"/>
    </row>
    <row r="36" spans="1:14" s="131" customFormat="1" ht="13.5" customHeight="1">
      <c r="A36" s="137" t="s">
        <v>36</v>
      </c>
      <c r="B36" s="132">
        <f>B35+1</f>
        <v>6</v>
      </c>
      <c r="C36" s="132">
        <v>7</v>
      </c>
      <c r="D36" s="132">
        <v>1</v>
      </c>
      <c r="E36" s="133" t="s">
        <v>194</v>
      </c>
      <c r="F36" s="134">
        <v>240</v>
      </c>
      <c r="G36" s="134">
        <v>220</v>
      </c>
      <c r="H36" s="134"/>
      <c r="I36" s="134" t="e">
        <f>I37</f>
        <v>#REF!</v>
      </c>
      <c r="J36" s="136"/>
      <c r="K36" s="134"/>
      <c r="L36" s="134"/>
      <c r="M36" s="130"/>
      <c r="N36" s="130"/>
    </row>
    <row r="37" spans="1:14" s="126" customFormat="1" ht="13.5" customHeight="1">
      <c r="A37" s="9" t="s">
        <v>49</v>
      </c>
      <c r="B37" s="138">
        <f t="shared" si="0"/>
        <v>7</v>
      </c>
      <c r="C37" s="138">
        <v>7</v>
      </c>
      <c r="D37" s="138">
        <v>1</v>
      </c>
      <c r="E37" s="139" t="s">
        <v>194</v>
      </c>
      <c r="F37" s="11">
        <v>244</v>
      </c>
      <c r="G37" s="11">
        <v>225</v>
      </c>
      <c r="H37" s="11"/>
      <c r="I37" s="11" t="e">
        <f>#REF!</f>
        <v>#REF!</v>
      </c>
      <c r="J37" s="140"/>
      <c r="K37" s="11"/>
      <c r="L37" s="11"/>
      <c r="M37" s="125"/>
      <c r="N37" s="125"/>
    </row>
    <row r="38" spans="1:14" s="126" customFormat="1" ht="13.5" customHeight="1">
      <c r="A38" s="30" t="s">
        <v>52</v>
      </c>
      <c r="B38" s="132">
        <f t="shared" si="0"/>
        <v>8</v>
      </c>
      <c r="C38" s="132">
        <v>7</v>
      </c>
      <c r="D38" s="132">
        <v>1</v>
      </c>
      <c r="E38" s="133" t="s">
        <v>194</v>
      </c>
      <c r="F38" s="134">
        <v>240</v>
      </c>
      <c r="G38" s="134">
        <v>300</v>
      </c>
      <c r="H38" s="134"/>
      <c r="I38" s="135">
        <f>I39+I40</f>
        <v>0</v>
      </c>
      <c r="J38" s="136"/>
      <c r="K38" s="134"/>
      <c r="L38" s="134"/>
      <c r="M38" s="125"/>
      <c r="N38" s="125"/>
    </row>
    <row r="39" spans="1:14" s="126" customFormat="1" ht="13.5" customHeight="1">
      <c r="A39" s="10" t="s">
        <v>53</v>
      </c>
      <c r="B39" s="138">
        <f t="shared" si="0"/>
        <v>9</v>
      </c>
      <c r="C39" s="138">
        <v>7</v>
      </c>
      <c r="D39" s="138">
        <v>1</v>
      </c>
      <c r="E39" s="139" t="s">
        <v>194</v>
      </c>
      <c r="F39" s="11">
        <v>244</v>
      </c>
      <c r="G39" s="11">
        <v>310</v>
      </c>
      <c r="H39" s="11"/>
      <c r="I39" s="11">
        <v>0</v>
      </c>
      <c r="J39" s="140"/>
      <c r="K39" s="11"/>
      <c r="L39" s="11"/>
      <c r="M39" s="125"/>
      <c r="N39" s="125"/>
    </row>
    <row r="40" spans="1:14" s="126" customFormat="1" ht="19.5" customHeight="1">
      <c r="A40" s="10" t="s">
        <v>54</v>
      </c>
      <c r="B40" s="138">
        <f t="shared" si="0"/>
        <v>10</v>
      </c>
      <c r="C40" s="138">
        <v>7</v>
      </c>
      <c r="D40" s="138">
        <v>1</v>
      </c>
      <c r="E40" s="139" t="s">
        <v>194</v>
      </c>
      <c r="F40" s="11">
        <v>244</v>
      </c>
      <c r="G40" s="11">
        <v>340</v>
      </c>
      <c r="H40" s="11"/>
      <c r="I40" s="141">
        <v>0</v>
      </c>
      <c r="J40" s="140"/>
      <c r="K40" s="11"/>
      <c r="L40" s="11"/>
      <c r="M40" s="125"/>
      <c r="N40" s="125"/>
    </row>
    <row r="41" spans="1:14" ht="36" customHeight="1">
      <c r="A41" s="94" t="s">
        <v>180</v>
      </c>
      <c r="B41" s="89">
        <f t="shared" si="0"/>
        <v>11</v>
      </c>
      <c r="C41" s="89">
        <v>7</v>
      </c>
      <c r="D41" s="89">
        <v>1</v>
      </c>
      <c r="E41" s="121" t="s">
        <v>181</v>
      </c>
      <c r="F41" s="92"/>
      <c r="G41" s="93"/>
      <c r="H41" s="93"/>
      <c r="I41" s="95" t="e">
        <f>I42</f>
        <v>#REF!</v>
      </c>
      <c r="J41" s="95"/>
      <c r="K41" s="95" t="e">
        <f>K42</f>
        <v>#REF!</v>
      </c>
      <c r="L41" s="95" t="e">
        <f>L42</f>
        <v>#REF!</v>
      </c>
      <c r="M41" s="97"/>
      <c r="N41" s="97"/>
    </row>
    <row r="42" spans="1:14" s="126" customFormat="1" ht="36" customHeight="1">
      <c r="A42" s="30" t="s">
        <v>182</v>
      </c>
      <c r="B42" s="122">
        <v>11</v>
      </c>
      <c r="C42" s="122">
        <v>7</v>
      </c>
      <c r="D42" s="122">
        <v>1</v>
      </c>
      <c r="E42" s="123" t="s">
        <v>183</v>
      </c>
      <c r="F42" s="11"/>
      <c r="G42" s="10"/>
      <c r="H42" s="10"/>
      <c r="I42" s="124" t="e">
        <f>I43+I65+I68+I73+I88+I93+I97</f>
        <v>#REF!</v>
      </c>
      <c r="J42" s="124"/>
      <c r="K42" s="124" t="e">
        <f>K43+K65+K68+K73+K88+K93+K97</f>
        <v>#REF!</v>
      </c>
      <c r="L42" s="124" t="e">
        <f>L43+L65+L68+L73+L88+L93+L97</f>
        <v>#REF!</v>
      </c>
      <c r="M42" s="125"/>
      <c r="N42" s="125"/>
    </row>
    <row r="43" spans="1:14" s="126" customFormat="1" ht="29.25" customHeight="1">
      <c r="A43" s="39" t="s">
        <v>97</v>
      </c>
      <c r="B43" s="132">
        <v>12</v>
      </c>
      <c r="C43" s="132">
        <v>7</v>
      </c>
      <c r="D43" s="132">
        <v>1</v>
      </c>
      <c r="E43" s="133" t="s">
        <v>184</v>
      </c>
      <c r="F43" s="11"/>
      <c r="G43" s="10"/>
      <c r="H43" s="10"/>
      <c r="I43" s="142" t="e">
        <f>I44+I48+I50+I62</f>
        <v>#REF!</v>
      </c>
      <c r="J43" s="142"/>
      <c r="K43" s="142">
        <f>K44+K48+K50+K62</f>
        <v>4304430</v>
      </c>
      <c r="L43" s="142">
        <f>L44+L48+L50+L62</f>
        <v>4023860</v>
      </c>
      <c r="M43" s="125"/>
      <c r="N43" s="125"/>
    </row>
    <row r="44" spans="1:14" s="144" customFormat="1" ht="18.75">
      <c r="A44" s="30" t="s">
        <v>32</v>
      </c>
      <c r="B44" s="122">
        <f t="shared" si="0"/>
        <v>13</v>
      </c>
      <c r="C44" s="122">
        <v>7</v>
      </c>
      <c r="D44" s="122">
        <v>1</v>
      </c>
      <c r="E44" s="133" t="s">
        <v>184</v>
      </c>
      <c r="F44" s="128">
        <v>110</v>
      </c>
      <c r="G44" s="30">
        <v>210</v>
      </c>
      <c r="H44" s="30"/>
      <c r="I44" s="124">
        <f>I45+I46+I47</f>
        <v>1116400</v>
      </c>
      <c r="J44" s="124"/>
      <c r="K44" s="124">
        <f>K45+K46+K47</f>
        <v>1537300</v>
      </c>
      <c r="L44" s="124">
        <f>L45+L46+L47</f>
        <v>1507600</v>
      </c>
      <c r="M44" s="143"/>
      <c r="N44" s="143"/>
    </row>
    <row r="45" spans="1:14" s="126" customFormat="1" ht="12.75">
      <c r="A45" s="10" t="s">
        <v>33</v>
      </c>
      <c r="B45" s="138">
        <f t="shared" si="0"/>
        <v>14</v>
      </c>
      <c r="C45" s="138">
        <v>7</v>
      </c>
      <c r="D45" s="138">
        <v>1</v>
      </c>
      <c r="E45" s="139" t="s">
        <v>184</v>
      </c>
      <c r="F45" s="11">
        <v>111</v>
      </c>
      <c r="G45" s="10">
        <v>211</v>
      </c>
      <c r="H45" s="10"/>
      <c r="I45" s="145">
        <f>'расчеты м 2019'!D14</f>
        <v>856100</v>
      </c>
      <c r="J45" s="146"/>
      <c r="K45" s="145">
        <v>1206100</v>
      </c>
      <c r="L45" s="145">
        <v>1172200</v>
      </c>
      <c r="M45" s="125"/>
      <c r="N45" s="125"/>
    </row>
    <row r="46" spans="1:14" s="126" customFormat="1" ht="12.75">
      <c r="A46" s="9" t="s">
        <v>35</v>
      </c>
      <c r="B46" s="138">
        <f aca="true" t="shared" si="1" ref="B46:B88">B45+1</f>
        <v>15</v>
      </c>
      <c r="C46" s="138">
        <v>7</v>
      </c>
      <c r="D46" s="138">
        <v>1</v>
      </c>
      <c r="E46" s="139" t="s">
        <v>184</v>
      </c>
      <c r="F46" s="11">
        <v>112</v>
      </c>
      <c r="G46" s="10">
        <v>212</v>
      </c>
      <c r="H46" s="10"/>
      <c r="I46" s="145">
        <f>'расчеты м 2019'!G27</f>
        <v>1800</v>
      </c>
      <c r="J46" s="146"/>
      <c r="K46" s="145"/>
      <c r="L46" s="145"/>
      <c r="M46" s="125"/>
      <c r="N46" s="125"/>
    </row>
    <row r="47" spans="1:12" s="126" customFormat="1" ht="12.75">
      <c r="A47" s="9" t="s">
        <v>34</v>
      </c>
      <c r="B47" s="138">
        <f t="shared" si="1"/>
        <v>16</v>
      </c>
      <c r="C47" s="138">
        <v>7</v>
      </c>
      <c r="D47" s="138">
        <v>1</v>
      </c>
      <c r="E47" s="139" t="s">
        <v>184</v>
      </c>
      <c r="F47" s="11">
        <v>119</v>
      </c>
      <c r="G47" s="9">
        <v>213</v>
      </c>
      <c r="H47" s="9"/>
      <c r="I47" s="147">
        <f>'расчеты м 2019'!D33</f>
        <v>258500</v>
      </c>
      <c r="J47" s="148"/>
      <c r="K47" s="147">
        <f>'расчеты м 2020'!D33</f>
        <v>331200</v>
      </c>
      <c r="L47" s="147">
        <f>'расчеты м 2021'!D33</f>
        <v>335400</v>
      </c>
    </row>
    <row r="48" spans="1:12" s="144" customFormat="1" ht="12.75">
      <c r="A48" s="149" t="s">
        <v>36</v>
      </c>
      <c r="B48" s="122">
        <f t="shared" si="1"/>
        <v>17</v>
      </c>
      <c r="C48" s="122">
        <v>7</v>
      </c>
      <c r="D48" s="122">
        <v>1</v>
      </c>
      <c r="E48" s="133" t="s">
        <v>184</v>
      </c>
      <c r="F48" s="128">
        <v>110</v>
      </c>
      <c r="G48" s="149">
        <v>220</v>
      </c>
      <c r="H48" s="149"/>
      <c r="I48" s="150">
        <f>I49</f>
        <v>0</v>
      </c>
      <c r="J48" s="150"/>
      <c r="K48" s="150">
        <f>K49</f>
        <v>0</v>
      </c>
      <c r="L48" s="150">
        <f>L49</f>
        <v>0</v>
      </c>
    </row>
    <row r="49" spans="1:12" s="126" customFormat="1" ht="12.75">
      <c r="A49" s="9" t="s">
        <v>37</v>
      </c>
      <c r="B49" s="138">
        <f t="shared" si="1"/>
        <v>18</v>
      </c>
      <c r="C49" s="138">
        <v>7</v>
      </c>
      <c r="D49" s="138">
        <v>1</v>
      </c>
      <c r="E49" s="139" t="s">
        <v>184</v>
      </c>
      <c r="F49" s="11">
        <v>112</v>
      </c>
      <c r="G49" s="9">
        <v>222</v>
      </c>
      <c r="H49" s="9"/>
      <c r="I49" s="147"/>
      <c r="J49" s="148"/>
      <c r="K49" s="147"/>
      <c r="L49" s="147"/>
    </row>
    <row r="50" spans="1:12" s="144" customFormat="1" ht="12.75">
      <c r="A50" s="149" t="s">
        <v>36</v>
      </c>
      <c r="B50" s="122">
        <f t="shared" si="1"/>
        <v>19</v>
      </c>
      <c r="C50" s="122">
        <v>7</v>
      </c>
      <c r="D50" s="122">
        <v>1</v>
      </c>
      <c r="E50" s="133" t="s">
        <v>184</v>
      </c>
      <c r="F50" s="128">
        <v>240</v>
      </c>
      <c r="G50" s="149">
        <v>220</v>
      </c>
      <c r="H50" s="149"/>
      <c r="I50" s="150">
        <f>I51+I52+I53+I59+I60+I61</f>
        <v>1036140</v>
      </c>
      <c r="J50" s="150"/>
      <c r="K50" s="150">
        <f>K51+K52+K53+K59+K60+K61</f>
        <v>863700</v>
      </c>
      <c r="L50" s="150">
        <f>L51+L52+L53+L59+L60+L61</f>
        <v>521040</v>
      </c>
    </row>
    <row r="51" spans="1:12" s="126" customFormat="1" ht="12.75">
      <c r="A51" s="9" t="s">
        <v>38</v>
      </c>
      <c r="B51" s="138">
        <f t="shared" si="1"/>
        <v>20</v>
      </c>
      <c r="C51" s="138">
        <v>7</v>
      </c>
      <c r="D51" s="138">
        <v>1</v>
      </c>
      <c r="E51" s="139" t="s">
        <v>184</v>
      </c>
      <c r="F51" s="11">
        <v>244</v>
      </c>
      <c r="G51" s="9">
        <v>221</v>
      </c>
      <c r="H51" s="9"/>
      <c r="I51" s="147">
        <f>'расчеты м 2019'!G49</f>
        <v>12650</v>
      </c>
      <c r="J51" s="148"/>
      <c r="K51" s="147">
        <f>'расчеты м 2020'!G49</f>
        <v>0</v>
      </c>
      <c r="L51" s="147">
        <f>'расчеты м 2021'!G49</f>
        <v>0</v>
      </c>
    </row>
    <row r="52" spans="1:12" s="126" customFormat="1" ht="12.75">
      <c r="A52" s="9" t="s">
        <v>37</v>
      </c>
      <c r="B52" s="138">
        <f t="shared" si="1"/>
        <v>21</v>
      </c>
      <c r="C52" s="138">
        <v>7</v>
      </c>
      <c r="D52" s="138">
        <v>1</v>
      </c>
      <c r="E52" s="139" t="s">
        <v>184</v>
      </c>
      <c r="F52" s="11">
        <v>242</v>
      </c>
      <c r="G52" s="9">
        <v>222</v>
      </c>
      <c r="H52" s="9"/>
      <c r="I52" s="147">
        <v>0</v>
      </c>
      <c r="J52" s="148"/>
      <c r="K52" s="147"/>
      <c r="L52" s="147"/>
    </row>
    <row r="53" spans="1:12" s="126" customFormat="1" ht="12.75">
      <c r="A53" s="9" t="s">
        <v>39</v>
      </c>
      <c r="B53" s="138">
        <f t="shared" si="1"/>
        <v>22</v>
      </c>
      <c r="C53" s="138">
        <v>7</v>
      </c>
      <c r="D53" s="138">
        <v>1</v>
      </c>
      <c r="E53" s="139" t="s">
        <v>184</v>
      </c>
      <c r="F53" s="11">
        <v>244</v>
      </c>
      <c r="G53" s="9">
        <v>223</v>
      </c>
      <c r="H53" s="9"/>
      <c r="I53" s="147">
        <f>I55+I56+I57+I58+I54</f>
        <v>938450</v>
      </c>
      <c r="J53" s="147"/>
      <c r="K53" s="147">
        <f>K55+K56+K57+K58+K54</f>
        <v>863700</v>
      </c>
      <c r="L53" s="147">
        <f>L55+L56+L57+L58+L54</f>
        <v>521040</v>
      </c>
    </row>
    <row r="54" spans="1:12" s="126" customFormat="1" ht="12.75">
      <c r="A54" s="151" t="s">
        <v>40</v>
      </c>
      <c r="B54" s="138">
        <f t="shared" si="1"/>
        <v>23</v>
      </c>
      <c r="C54" s="138">
        <v>7</v>
      </c>
      <c r="D54" s="138">
        <v>1</v>
      </c>
      <c r="E54" s="139" t="s">
        <v>184</v>
      </c>
      <c r="F54" s="11">
        <v>244</v>
      </c>
      <c r="G54" s="9">
        <v>223</v>
      </c>
      <c r="H54" s="152" t="s">
        <v>43</v>
      </c>
      <c r="I54" s="147"/>
      <c r="J54" s="148"/>
      <c r="K54" s="147"/>
      <c r="L54" s="147"/>
    </row>
    <row r="55" spans="1:12" s="126" customFormat="1" ht="12.75">
      <c r="A55" s="151" t="s">
        <v>42</v>
      </c>
      <c r="B55" s="138">
        <f t="shared" si="1"/>
        <v>24</v>
      </c>
      <c r="C55" s="138">
        <v>7</v>
      </c>
      <c r="D55" s="138">
        <v>1</v>
      </c>
      <c r="E55" s="139" t="s">
        <v>184</v>
      </c>
      <c r="F55" s="11">
        <v>244</v>
      </c>
      <c r="G55" s="9">
        <v>223</v>
      </c>
      <c r="H55" s="152" t="s">
        <v>41</v>
      </c>
      <c r="I55" s="147">
        <f>'расчеты м 2019'!G56</f>
        <v>521310</v>
      </c>
      <c r="J55" s="148"/>
      <c r="K55" s="147">
        <f>'расчеты м 2020'!G56</f>
        <v>521350</v>
      </c>
      <c r="L55" s="147">
        <f>'расчеты м 2021'!G56</f>
        <v>521040</v>
      </c>
    </row>
    <row r="56" spans="1:12" s="126" customFormat="1" ht="12.75">
      <c r="A56" s="151" t="s">
        <v>44</v>
      </c>
      <c r="B56" s="138">
        <f t="shared" si="1"/>
        <v>25</v>
      </c>
      <c r="C56" s="138">
        <v>7</v>
      </c>
      <c r="D56" s="138">
        <v>1</v>
      </c>
      <c r="E56" s="139" t="s">
        <v>184</v>
      </c>
      <c r="F56" s="11">
        <v>244</v>
      </c>
      <c r="G56" s="9">
        <v>223</v>
      </c>
      <c r="H56" s="152" t="s">
        <v>45</v>
      </c>
      <c r="I56" s="147">
        <f>'расчеты м 2019'!G55</f>
        <v>342350</v>
      </c>
      <c r="J56" s="148"/>
      <c r="K56" s="147">
        <f>'расчеты м 2020'!G55</f>
        <v>342350</v>
      </c>
      <c r="L56" s="147">
        <f>'расчеты м 2021'!G55</f>
        <v>0</v>
      </c>
    </row>
    <row r="57" spans="1:12" s="126" customFormat="1" ht="12.75">
      <c r="A57" s="151" t="s">
        <v>46</v>
      </c>
      <c r="B57" s="138">
        <f t="shared" si="1"/>
        <v>26</v>
      </c>
      <c r="C57" s="138">
        <v>7</v>
      </c>
      <c r="D57" s="138">
        <v>1</v>
      </c>
      <c r="E57" s="139" t="s">
        <v>184</v>
      </c>
      <c r="F57" s="11">
        <v>244</v>
      </c>
      <c r="G57" s="9">
        <v>223</v>
      </c>
      <c r="H57" s="152" t="s">
        <v>47</v>
      </c>
      <c r="I57" s="147">
        <f>'расчеты м 2019'!G57</f>
        <v>5390</v>
      </c>
      <c r="J57" s="148"/>
      <c r="K57" s="147">
        <f>'расчеты м 2020'!G57</f>
        <v>0</v>
      </c>
      <c r="L57" s="147">
        <f>'расчеты м 2021'!G57</f>
        <v>0</v>
      </c>
    </row>
    <row r="58" spans="1:12" s="126" customFormat="1" ht="12.75">
      <c r="A58" s="151" t="s">
        <v>48</v>
      </c>
      <c r="B58" s="138">
        <f t="shared" si="1"/>
        <v>27</v>
      </c>
      <c r="C58" s="138">
        <v>7</v>
      </c>
      <c r="D58" s="138">
        <v>1</v>
      </c>
      <c r="E58" s="139" t="s">
        <v>184</v>
      </c>
      <c r="F58" s="11">
        <v>244</v>
      </c>
      <c r="G58" s="9">
        <v>223</v>
      </c>
      <c r="H58" s="152" t="s">
        <v>96</v>
      </c>
      <c r="I58" s="147">
        <f>'расчеты м 2019'!G58</f>
        <v>69400</v>
      </c>
      <c r="J58" s="148"/>
      <c r="K58" s="147">
        <f>'расчеты м 2020'!G58</f>
        <v>0</v>
      </c>
      <c r="L58" s="147">
        <f>'расчеты м 2021'!G58</f>
        <v>0</v>
      </c>
    </row>
    <row r="59" spans="1:12" s="126" customFormat="1" ht="12.75">
      <c r="A59" s="9" t="s">
        <v>49</v>
      </c>
      <c r="B59" s="138">
        <f t="shared" si="1"/>
        <v>28</v>
      </c>
      <c r="C59" s="138">
        <v>7</v>
      </c>
      <c r="D59" s="138">
        <v>1</v>
      </c>
      <c r="E59" s="139" t="s">
        <v>184</v>
      </c>
      <c r="F59" s="11">
        <v>244</v>
      </c>
      <c r="G59" s="9">
        <v>225</v>
      </c>
      <c r="H59" s="9">
        <v>440</v>
      </c>
      <c r="I59" s="147">
        <f>'расчеты м 2019'!G69</f>
        <v>53840</v>
      </c>
      <c r="J59" s="148"/>
      <c r="K59" s="147">
        <f>'расчеты м 2020'!G67</f>
        <v>0</v>
      </c>
      <c r="L59" s="147">
        <f>'расчеты м 2021'!G67</f>
        <v>0</v>
      </c>
    </row>
    <row r="60" spans="1:12" s="126" customFormat="1" ht="12.75">
      <c r="A60" s="9" t="s">
        <v>49</v>
      </c>
      <c r="B60" s="138">
        <f t="shared" si="1"/>
        <v>29</v>
      </c>
      <c r="C60" s="138">
        <v>7</v>
      </c>
      <c r="D60" s="138">
        <v>1</v>
      </c>
      <c r="E60" s="139" t="s">
        <v>184</v>
      </c>
      <c r="F60" s="11">
        <v>242</v>
      </c>
      <c r="G60" s="9">
        <v>225</v>
      </c>
      <c r="H60" s="9"/>
      <c r="I60" s="147"/>
      <c r="J60" s="148"/>
      <c r="K60" s="147"/>
      <c r="L60" s="147"/>
    </row>
    <row r="61" spans="1:12" s="126" customFormat="1" ht="12.75">
      <c r="A61" s="9" t="s">
        <v>50</v>
      </c>
      <c r="B61" s="138">
        <f t="shared" si="1"/>
        <v>30</v>
      </c>
      <c r="C61" s="138">
        <v>7</v>
      </c>
      <c r="D61" s="138">
        <v>1</v>
      </c>
      <c r="E61" s="139" t="s">
        <v>184</v>
      </c>
      <c r="F61" s="11">
        <v>244</v>
      </c>
      <c r="G61" s="9">
        <v>226</v>
      </c>
      <c r="H61" s="9">
        <v>440</v>
      </c>
      <c r="I61" s="147">
        <f>'расчеты м 2019'!G80</f>
        <v>31200</v>
      </c>
      <c r="J61" s="148"/>
      <c r="K61" s="147">
        <f>'расчеты м 2020'!G78</f>
        <v>0</v>
      </c>
      <c r="L61" s="147">
        <f>'расчеты м 2021'!G78</f>
        <v>0</v>
      </c>
    </row>
    <row r="62" spans="1:12" s="144" customFormat="1" ht="12.75">
      <c r="A62" s="30" t="s">
        <v>52</v>
      </c>
      <c r="B62" s="122">
        <f t="shared" si="1"/>
        <v>31</v>
      </c>
      <c r="C62" s="122">
        <v>7</v>
      </c>
      <c r="D62" s="122">
        <v>1</v>
      </c>
      <c r="E62" s="133" t="s">
        <v>184</v>
      </c>
      <c r="F62" s="128">
        <v>240</v>
      </c>
      <c r="G62" s="149">
        <v>300</v>
      </c>
      <c r="H62" s="149"/>
      <c r="I62" s="150" t="e">
        <f>I63+I64</f>
        <v>#REF!</v>
      </c>
      <c r="J62" s="150"/>
      <c r="K62" s="150">
        <f>K63+K64</f>
        <v>1903430</v>
      </c>
      <c r="L62" s="150">
        <f>L63+L64</f>
        <v>1995220</v>
      </c>
    </row>
    <row r="63" spans="1:12" s="126" customFormat="1" ht="12.75">
      <c r="A63" s="10" t="s">
        <v>53</v>
      </c>
      <c r="B63" s="138">
        <f t="shared" si="1"/>
        <v>32</v>
      </c>
      <c r="C63" s="138">
        <v>7</v>
      </c>
      <c r="D63" s="138">
        <v>1</v>
      </c>
      <c r="E63" s="139" t="s">
        <v>184</v>
      </c>
      <c r="F63" s="11">
        <v>244</v>
      </c>
      <c r="G63" s="9">
        <v>310</v>
      </c>
      <c r="H63" s="9"/>
      <c r="I63" s="147">
        <f>'расчеты м 2019'!D108</f>
        <v>0</v>
      </c>
      <c r="J63" s="148"/>
      <c r="K63" s="147"/>
      <c r="L63" s="147"/>
    </row>
    <row r="64" spans="1:12" s="126" customFormat="1" ht="19.5">
      <c r="A64" s="10" t="s">
        <v>54</v>
      </c>
      <c r="B64" s="138">
        <f t="shared" si="1"/>
        <v>33</v>
      </c>
      <c r="C64" s="138">
        <v>7</v>
      </c>
      <c r="D64" s="138">
        <v>1</v>
      </c>
      <c r="E64" s="139" t="s">
        <v>184</v>
      </c>
      <c r="F64" s="11">
        <v>244</v>
      </c>
      <c r="G64" s="9">
        <v>340</v>
      </c>
      <c r="H64" s="9"/>
      <c r="I64" s="147" t="e">
        <f>'расчеты м 2019'!#REF!+'расчеты м 2019'!#REF!+'расчеты м 2019'!#REF!</f>
        <v>#REF!</v>
      </c>
      <c r="J64" s="148"/>
      <c r="K64" s="147">
        <f>'расчеты м 2020'!D119</f>
        <v>1903430</v>
      </c>
      <c r="L64" s="147">
        <f>'расчеты м 2021'!D119</f>
        <v>1995220</v>
      </c>
    </row>
    <row r="65" spans="1:12" s="126" customFormat="1" ht="27.75">
      <c r="A65" s="39" t="s">
        <v>205</v>
      </c>
      <c r="B65" s="132">
        <f t="shared" si="1"/>
        <v>34</v>
      </c>
      <c r="C65" s="132">
        <v>7</v>
      </c>
      <c r="D65" s="132">
        <v>1</v>
      </c>
      <c r="E65" s="133" t="s">
        <v>206</v>
      </c>
      <c r="F65" s="134"/>
      <c r="G65" s="137"/>
      <c r="H65" s="137"/>
      <c r="I65" s="153">
        <f>I66</f>
        <v>1831850</v>
      </c>
      <c r="J65" s="154"/>
      <c r="K65" s="153"/>
      <c r="L65" s="153"/>
    </row>
    <row r="66" spans="1:12" s="126" customFormat="1" ht="12.75">
      <c r="A66" s="30" t="s">
        <v>52</v>
      </c>
      <c r="B66" s="122">
        <f t="shared" si="1"/>
        <v>35</v>
      </c>
      <c r="C66" s="122">
        <v>7</v>
      </c>
      <c r="D66" s="122">
        <v>1</v>
      </c>
      <c r="E66" s="123" t="s">
        <v>206</v>
      </c>
      <c r="F66" s="128">
        <v>240</v>
      </c>
      <c r="G66" s="149">
        <v>300</v>
      </c>
      <c r="H66" s="149"/>
      <c r="I66" s="150">
        <f>I67</f>
        <v>1831850</v>
      </c>
      <c r="J66" s="155"/>
      <c r="K66" s="150"/>
      <c r="L66" s="150"/>
    </row>
    <row r="67" spans="1:12" s="126" customFormat="1" ht="19.5">
      <c r="A67" s="10" t="s">
        <v>54</v>
      </c>
      <c r="B67" s="138">
        <f t="shared" si="1"/>
        <v>36</v>
      </c>
      <c r="C67" s="138">
        <v>7</v>
      </c>
      <c r="D67" s="138">
        <v>1</v>
      </c>
      <c r="E67" s="139" t="s">
        <v>206</v>
      </c>
      <c r="F67" s="11">
        <v>244</v>
      </c>
      <c r="G67" s="9">
        <v>340</v>
      </c>
      <c r="H67" s="9">
        <v>440</v>
      </c>
      <c r="I67" s="147">
        <f>'расчеты м 2019'!D114</f>
        <v>1831850</v>
      </c>
      <c r="J67" s="148"/>
      <c r="K67" s="147"/>
      <c r="L67" s="147"/>
    </row>
    <row r="68" spans="1:12" s="131" customFormat="1" ht="45.75">
      <c r="A68" s="91" t="s">
        <v>133</v>
      </c>
      <c r="B68" s="138">
        <f>B67+1</f>
        <v>37</v>
      </c>
      <c r="C68" s="132">
        <v>7</v>
      </c>
      <c r="D68" s="132">
        <v>1</v>
      </c>
      <c r="E68" s="133" t="s">
        <v>177</v>
      </c>
      <c r="F68" s="134"/>
      <c r="G68" s="137"/>
      <c r="H68" s="137"/>
      <c r="I68" s="153">
        <f>I69+I71</f>
        <v>0</v>
      </c>
      <c r="J68" s="154"/>
      <c r="K68" s="153" t="e">
        <f>K69+K71</f>
        <v>#REF!</v>
      </c>
      <c r="L68" s="153" t="e">
        <f>L69+L71</f>
        <v>#REF!</v>
      </c>
    </row>
    <row r="69" spans="1:12" s="144" customFormat="1" ht="12.75">
      <c r="A69" s="149" t="s">
        <v>36</v>
      </c>
      <c r="B69" s="122">
        <f t="shared" si="1"/>
        <v>38</v>
      </c>
      <c r="C69" s="122">
        <v>7</v>
      </c>
      <c r="D69" s="122">
        <v>1</v>
      </c>
      <c r="E69" s="123" t="s">
        <v>177</v>
      </c>
      <c r="F69" s="128">
        <v>240</v>
      </c>
      <c r="G69" s="149">
        <v>220</v>
      </c>
      <c r="H69" s="149"/>
      <c r="I69" s="150">
        <f>I70</f>
        <v>0</v>
      </c>
      <c r="J69" s="155"/>
      <c r="K69" s="150" t="e">
        <f>K70</f>
        <v>#REF!</v>
      </c>
      <c r="L69" s="150" t="e">
        <f>L70</f>
        <v>#REF!</v>
      </c>
    </row>
    <row r="70" spans="1:12" s="126" customFormat="1" ht="12.75">
      <c r="A70" s="9" t="s">
        <v>50</v>
      </c>
      <c r="B70" s="138">
        <f t="shared" si="1"/>
        <v>39</v>
      </c>
      <c r="C70" s="138">
        <v>7</v>
      </c>
      <c r="D70" s="138">
        <v>1</v>
      </c>
      <c r="E70" s="139" t="s">
        <v>177</v>
      </c>
      <c r="F70" s="11">
        <v>244</v>
      </c>
      <c r="G70" s="9">
        <v>226</v>
      </c>
      <c r="H70" s="9">
        <v>440</v>
      </c>
      <c r="I70" s="147"/>
      <c r="J70" s="148"/>
      <c r="K70" s="147" t="e">
        <f>#REF!</f>
        <v>#REF!</v>
      </c>
      <c r="L70" s="147" t="e">
        <f>#REF!</f>
        <v>#REF!</v>
      </c>
    </row>
    <row r="71" spans="1:12" s="126" customFormat="1" ht="12.75">
      <c r="A71" s="30" t="s">
        <v>52</v>
      </c>
      <c r="B71" s="122">
        <f t="shared" si="1"/>
        <v>40</v>
      </c>
      <c r="C71" s="122">
        <v>7</v>
      </c>
      <c r="D71" s="122">
        <v>1</v>
      </c>
      <c r="E71" s="123" t="s">
        <v>177</v>
      </c>
      <c r="F71" s="128">
        <v>240</v>
      </c>
      <c r="G71" s="149">
        <v>300</v>
      </c>
      <c r="H71" s="9"/>
      <c r="I71" s="150">
        <f>I72</f>
        <v>0</v>
      </c>
      <c r="J71" s="148"/>
      <c r="K71" s="150" t="e">
        <f>K72</f>
        <v>#REF!</v>
      </c>
      <c r="L71" s="150" t="e">
        <f>L72</f>
        <v>#REF!</v>
      </c>
    </row>
    <row r="72" spans="1:12" s="126" customFormat="1" ht="12.75">
      <c r="A72" s="10" t="s">
        <v>53</v>
      </c>
      <c r="B72" s="138">
        <f t="shared" si="1"/>
        <v>41</v>
      </c>
      <c r="C72" s="138">
        <v>7</v>
      </c>
      <c r="D72" s="138">
        <v>1</v>
      </c>
      <c r="E72" s="139" t="s">
        <v>177</v>
      </c>
      <c r="F72" s="11">
        <v>244</v>
      </c>
      <c r="G72" s="9">
        <v>310</v>
      </c>
      <c r="H72" s="9"/>
      <c r="I72" s="147"/>
      <c r="J72" s="148"/>
      <c r="K72" s="147" t="e">
        <f>#REF!</f>
        <v>#REF!</v>
      </c>
      <c r="L72" s="147" t="e">
        <f>#REF!</f>
        <v>#REF!</v>
      </c>
    </row>
    <row r="73" spans="1:12" s="126" customFormat="1" ht="48.75" customHeight="1">
      <c r="A73" s="39" t="s">
        <v>98</v>
      </c>
      <c r="B73" s="132">
        <f t="shared" si="1"/>
        <v>42</v>
      </c>
      <c r="C73" s="132">
        <v>7</v>
      </c>
      <c r="D73" s="132">
        <v>1</v>
      </c>
      <c r="E73" s="133" t="s">
        <v>186</v>
      </c>
      <c r="F73" s="11"/>
      <c r="G73" s="9"/>
      <c r="H73" s="9"/>
      <c r="I73" s="153">
        <f>I74+I79+I84</f>
        <v>6052050</v>
      </c>
      <c r="J73" s="153">
        <f>J74+J79+J84</f>
        <v>0</v>
      </c>
      <c r="K73" s="153" t="e">
        <f>K74+K79+K84</f>
        <v>#REF!</v>
      </c>
      <c r="L73" s="153" t="e">
        <f>L74+L79+L84</f>
        <v>#REF!</v>
      </c>
    </row>
    <row r="74" spans="1:12" s="126" customFormat="1" ht="48.75" customHeight="1">
      <c r="A74" s="100" t="s">
        <v>134</v>
      </c>
      <c r="B74" s="156">
        <f t="shared" si="1"/>
        <v>43</v>
      </c>
      <c r="C74" s="156">
        <v>7</v>
      </c>
      <c r="D74" s="156">
        <v>1</v>
      </c>
      <c r="E74" s="157" t="s">
        <v>187</v>
      </c>
      <c r="F74" s="11"/>
      <c r="G74" s="9"/>
      <c r="H74" s="9"/>
      <c r="I74" s="158">
        <f>I75</f>
        <v>4648530</v>
      </c>
      <c r="J74" s="158">
        <f>J75</f>
        <v>0</v>
      </c>
      <c r="K74" s="158" t="e">
        <f>K75</f>
        <v>#REF!</v>
      </c>
      <c r="L74" s="158">
        <f>L75</f>
        <v>4648530</v>
      </c>
    </row>
    <row r="75" spans="1:12" s="126" customFormat="1" ht="18.75">
      <c r="A75" s="30" t="s">
        <v>32</v>
      </c>
      <c r="B75" s="122">
        <f t="shared" si="1"/>
        <v>44</v>
      </c>
      <c r="C75" s="122">
        <v>7</v>
      </c>
      <c r="D75" s="122">
        <v>1</v>
      </c>
      <c r="E75" s="133" t="s">
        <v>187</v>
      </c>
      <c r="F75" s="128">
        <v>110</v>
      </c>
      <c r="G75" s="30">
        <v>210</v>
      </c>
      <c r="H75" s="30"/>
      <c r="I75" s="124">
        <f>I76+I77+I78</f>
        <v>4648530</v>
      </c>
      <c r="J75" s="124">
        <f>J76+J77+J78</f>
        <v>0</v>
      </c>
      <c r="K75" s="124" t="e">
        <f>K76+K77+K78</f>
        <v>#REF!</v>
      </c>
      <c r="L75" s="124">
        <f>L76+L77+L78</f>
        <v>4648530</v>
      </c>
    </row>
    <row r="76" spans="1:12" s="126" customFormat="1" ht="12.75">
      <c r="A76" s="9" t="s">
        <v>33</v>
      </c>
      <c r="B76" s="138">
        <f t="shared" si="1"/>
        <v>45</v>
      </c>
      <c r="C76" s="138">
        <v>7</v>
      </c>
      <c r="D76" s="138">
        <v>1</v>
      </c>
      <c r="E76" s="157" t="s">
        <v>187</v>
      </c>
      <c r="F76" s="11">
        <v>111</v>
      </c>
      <c r="G76" s="10">
        <v>211</v>
      </c>
      <c r="H76" s="10"/>
      <c r="I76" s="145">
        <f>'расч об 2019'!D16</f>
        <v>3570300</v>
      </c>
      <c r="J76" s="146"/>
      <c r="K76" s="145" t="e">
        <f>#REF!</f>
        <v>#REF!</v>
      </c>
      <c r="L76" s="145">
        <f>'расч об 2019'!D16</f>
        <v>3570300</v>
      </c>
    </row>
    <row r="77" spans="1:12" s="126" customFormat="1" ht="12.75">
      <c r="A77" s="9" t="s">
        <v>34</v>
      </c>
      <c r="B77" s="138">
        <f t="shared" si="1"/>
        <v>46</v>
      </c>
      <c r="C77" s="138">
        <v>7</v>
      </c>
      <c r="D77" s="138">
        <v>1</v>
      </c>
      <c r="E77" s="139" t="s">
        <v>187</v>
      </c>
      <c r="F77" s="11">
        <v>119</v>
      </c>
      <c r="G77" s="10">
        <v>213</v>
      </c>
      <c r="H77" s="10"/>
      <c r="I77" s="145">
        <f>'расч об 2019'!D39</f>
        <v>1078230</v>
      </c>
      <c r="J77" s="146"/>
      <c r="K77" s="145" t="e">
        <f>#REF!</f>
        <v>#REF!</v>
      </c>
      <c r="L77" s="145">
        <f>'расч об 2019'!D39</f>
        <v>1078230</v>
      </c>
    </row>
    <row r="78" spans="1:12" s="126" customFormat="1" ht="12.75">
      <c r="A78" s="9" t="s">
        <v>35</v>
      </c>
      <c r="B78" s="138">
        <f t="shared" si="1"/>
        <v>47</v>
      </c>
      <c r="C78" s="138">
        <v>7</v>
      </c>
      <c r="D78" s="138">
        <v>1</v>
      </c>
      <c r="E78" s="139" t="s">
        <v>187</v>
      </c>
      <c r="F78" s="11">
        <v>112</v>
      </c>
      <c r="G78" s="10">
        <v>212</v>
      </c>
      <c r="H78" s="10"/>
      <c r="I78" s="145"/>
      <c r="J78" s="146"/>
      <c r="K78" s="145"/>
      <c r="L78" s="145"/>
    </row>
    <row r="79" spans="1:12" s="126" customFormat="1" ht="48.75" customHeight="1">
      <c r="A79" s="100" t="s">
        <v>139</v>
      </c>
      <c r="B79" s="156">
        <f t="shared" si="1"/>
        <v>48</v>
      </c>
      <c r="C79" s="156">
        <v>7</v>
      </c>
      <c r="D79" s="156">
        <v>1</v>
      </c>
      <c r="E79" s="157" t="s">
        <v>185</v>
      </c>
      <c r="F79" s="159"/>
      <c r="G79" s="100"/>
      <c r="H79" s="100"/>
      <c r="I79" s="160">
        <f>I80</f>
        <v>1299600</v>
      </c>
      <c r="J79" s="160">
        <f>J80</f>
        <v>0</v>
      </c>
      <c r="K79" s="160" t="e">
        <f>K80</f>
        <v>#REF!</v>
      </c>
      <c r="L79" s="160" t="e">
        <f>L80</f>
        <v>#REF!</v>
      </c>
    </row>
    <row r="80" spans="1:12" s="126" customFormat="1" ht="18.75">
      <c r="A80" s="30" t="s">
        <v>32</v>
      </c>
      <c r="B80" s="122">
        <f t="shared" si="1"/>
        <v>49</v>
      </c>
      <c r="C80" s="122">
        <v>7</v>
      </c>
      <c r="D80" s="122">
        <v>1</v>
      </c>
      <c r="E80" s="123" t="s">
        <v>185</v>
      </c>
      <c r="F80" s="128">
        <v>110</v>
      </c>
      <c r="G80" s="30">
        <v>210</v>
      </c>
      <c r="H80" s="30"/>
      <c r="I80" s="124">
        <f>I81+I82+I83</f>
        <v>1299600</v>
      </c>
      <c r="J80" s="124">
        <f>J81+J82+J83</f>
        <v>0</v>
      </c>
      <c r="K80" s="124" t="e">
        <f>K81+K82+K83</f>
        <v>#REF!</v>
      </c>
      <c r="L80" s="124" t="e">
        <f>L81+L82+L83</f>
        <v>#REF!</v>
      </c>
    </row>
    <row r="81" spans="1:12" s="126" customFormat="1" ht="12.75">
      <c r="A81" s="9" t="s">
        <v>33</v>
      </c>
      <c r="B81" s="138">
        <f t="shared" si="1"/>
        <v>50</v>
      </c>
      <c r="C81" s="138">
        <v>7</v>
      </c>
      <c r="D81" s="138">
        <v>1</v>
      </c>
      <c r="E81" s="139" t="s">
        <v>185</v>
      </c>
      <c r="F81" s="11">
        <v>111</v>
      </c>
      <c r="G81" s="10">
        <v>211</v>
      </c>
      <c r="H81" s="10"/>
      <c r="I81" s="145">
        <f>'расч об 2019'!D19</f>
        <v>998200</v>
      </c>
      <c r="J81" s="146"/>
      <c r="K81" s="145" t="e">
        <f>#REF!</f>
        <v>#REF!</v>
      </c>
      <c r="L81" s="145" t="e">
        <f>#REF!</f>
        <v>#REF!</v>
      </c>
    </row>
    <row r="82" spans="1:12" s="126" customFormat="1" ht="12.75">
      <c r="A82" s="9" t="s">
        <v>34</v>
      </c>
      <c r="B82" s="138">
        <f t="shared" si="1"/>
        <v>51</v>
      </c>
      <c r="C82" s="138">
        <v>7</v>
      </c>
      <c r="D82" s="138">
        <v>1</v>
      </c>
      <c r="E82" s="139" t="s">
        <v>185</v>
      </c>
      <c r="F82" s="11">
        <v>119</v>
      </c>
      <c r="G82" s="10">
        <v>213</v>
      </c>
      <c r="H82" s="10"/>
      <c r="I82" s="145">
        <f>'расч об 2019'!D40</f>
        <v>301400</v>
      </c>
      <c r="J82" s="146"/>
      <c r="K82" s="145" t="e">
        <f>#REF!</f>
        <v>#REF!</v>
      </c>
      <c r="L82" s="145" t="e">
        <f>#REF!</f>
        <v>#REF!</v>
      </c>
    </row>
    <row r="83" spans="1:12" s="126" customFormat="1" ht="12.75">
      <c r="A83" s="9" t="s">
        <v>35</v>
      </c>
      <c r="B83" s="138">
        <f t="shared" si="1"/>
        <v>52</v>
      </c>
      <c r="C83" s="138">
        <v>7</v>
      </c>
      <c r="D83" s="138">
        <v>1</v>
      </c>
      <c r="E83" s="139" t="s">
        <v>185</v>
      </c>
      <c r="F83" s="11">
        <v>112</v>
      </c>
      <c r="G83" s="10">
        <v>212</v>
      </c>
      <c r="H83" s="10"/>
      <c r="I83" s="145"/>
      <c r="J83" s="146"/>
      <c r="K83" s="145"/>
      <c r="L83" s="145"/>
    </row>
    <row r="84" spans="1:12" s="126" customFormat="1" ht="48.75" customHeight="1">
      <c r="A84" s="100" t="s">
        <v>135</v>
      </c>
      <c r="B84" s="156">
        <f t="shared" si="1"/>
        <v>53</v>
      </c>
      <c r="C84" s="156">
        <v>7</v>
      </c>
      <c r="D84" s="156">
        <v>1</v>
      </c>
      <c r="E84" s="157" t="s">
        <v>188</v>
      </c>
      <c r="F84" s="159"/>
      <c r="G84" s="100"/>
      <c r="H84" s="100"/>
      <c r="I84" s="160">
        <f>I85</f>
        <v>103920</v>
      </c>
      <c r="J84" s="160">
        <f aca="true" t="shared" si="2" ref="J84:L85">J85</f>
        <v>0</v>
      </c>
      <c r="K84" s="160">
        <f t="shared" si="2"/>
        <v>0</v>
      </c>
      <c r="L84" s="160">
        <f t="shared" si="2"/>
        <v>0</v>
      </c>
    </row>
    <row r="85" spans="1:12" s="126" customFormat="1" ht="12.75">
      <c r="A85" s="30" t="s">
        <v>52</v>
      </c>
      <c r="B85" s="122">
        <f t="shared" si="1"/>
        <v>54</v>
      </c>
      <c r="C85" s="122">
        <v>7</v>
      </c>
      <c r="D85" s="122">
        <v>1</v>
      </c>
      <c r="E85" s="123" t="s">
        <v>188</v>
      </c>
      <c r="F85" s="128">
        <v>240</v>
      </c>
      <c r="G85" s="30">
        <v>300</v>
      </c>
      <c r="H85" s="30"/>
      <c r="I85" s="124">
        <f>I86+I87</f>
        <v>103920</v>
      </c>
      <c r="J85" s="124">
        <f t="shared" si="2"/>
        <v>0</v>
      </c>
      <c r="K85" s="124">
        <f t="shared" si="2"/>
        <v>0</v>
      </c>
      <c r="L85" s="124">
        <f t="shared" si="2"/>
        <v>0</v>
      </c>
    </row>
    <row r="86" spans="1:12" s="126" customFormat="1" ht="12.75">
      <c r="A86" s="10" t="s">
        <v>53</v>
      </c>
      <c r="B86" s="138">
        <f t="shared" si="1"/>
        <v>55</v>
      </c>
      <c r="C86" s="138">
        <v>7</v>
      </c>
      <c r="D86" s="138">
        <v>1</v>
      </c>
      <c r="E86" s="139" t="s">
        <v>188</v>
      </c>
      <c r="F86" s="11">
        <v>244</v>
      </c>
      <c r="G86" s="10">
        <v>310</v>
      </c>
      <c r="H86" s="10"/>
      <c r="I86" s="145"/>
      <c r="J86" s="146"/>
      <c r="K86" s="145"/>
      <c r="L86" s="145"/>
    </row>
    <row r="87" spans="1:12" s="126" customFormat="1" ht="19.5">
      <c r="A87" s="10" t="s">
        <v>54</v>
      </c>
      <c r="B87" s="138">
        <f t="shared" si="1"/>
        <v>56</v>
      </c>
      <c r="C87" s="138">
        <v>7</v>
      </c>
      <c r="D87" s="138">
        <v>1</v>
      </c>
      <c r="E87" s="139" t="s">
        <v>188</v>
      </c>
      <c r="F87" s="11">
        <v>244</v>
      </c>
      <c r="G87" s="10">
        <v>340</v>
      </c>
      <c r="H87" s="10"/>
      <c r="I87" s="145">
        <f>'расч об 2019'!D49</f>
        <v>103920</v>
      </c>
      <c r="J87" s="146"/>
      <c r="K87" s="145"/>
      <c r="L87" s="145"/>
    </row>
    <row r="88" spans="1:14" s="126" customFormat="1" ht="27.75">
      <c r="A88" s="39" t="s">
        <v>99</v>
      </c>
      <c r="B88" s="132">
        <f t="shared" si="1"/>
        <v>57</v>
      </c>
      <c r="C88" s="132">
        <v>7</v>
      </c>
      <c r="D88" s="132">
        <v>1</v>
      </c>
      <c r="E88" s="133" t="s">
        <v>178</v>
      </c>
      <c r="F88" s="134"/>
      <c r="G88" s="39"/>
      <c r="H88" s="39"/>
      <c r="I88" s="142">
        <f>I89</f>
        <v>610</v>
      </c>
      <c r="J88" s="142">
        <f>J89</f>
        <v>0</v>
      </c>
      <c r="K88" s="142">
        <f>K89</f>
        <v>200</v>
      </c>
      <c r="L88" s="142">
        <f>L89</f>
        <v>200</v>
      </c>
      <c r="M88" s="125"/>
      <c r="N88" s="125"/>
    </row>
    <row r="89" spans="1:12" s="144" customFormat="1" ht="12.75">
      <c r="A89" s="30" t="s">
        <v>51</v>
      </c>
      <c r="B89" s="122">
        <f aca="true" t="shared" si="3" ref="B89:B112">B88+1</f>
        <v>58</v>
      </c>
      <c r="C89" s="122">
        <v>7</v>
      </c>
      <c r="D89" s="122">
        <v>1</v>
      </c>
      <c r="E89" s="123" t="s">
        <v>178</v>
      </c>
      <c r="F89" s="128">
        <v>850</v>
      </c>
      <c r="G89" s="149">
        <v>290</v>
      </c>
      <c r="H89" s="149"/>
      <c r="I89" s="150">
        <f>I90+I91+I92</f>
        <v>610</v>
      </c>
      <c r="J89" s="150">
        <f>J90+J91+J92</f>
        <v>0</v>
      </c>
      <c r="K89" s="150">
        <f>K90+K91+K92</f>
        <v>200</v>
      </c>
      <c r="L89" s="150">
        <f>L90+L91+L92</f>
        <v>200</v>
      </c>
    </row>
    <row r="90" spans="1:12" s="126" customFormat="1" ht="19.5">
      <c r="A90" s="10" t="s">
        <v>100</v>
      </c>
      <c r="B90" s="138">
        <f t="shared" si="3"/>
        <v>59</v>
      </c>
      <c r="C90" s="138">
        <v>7</v>
      </c>
      <c r="D90" s="138">
        <v>1</v>
      </c>
      <c r="E90" s="139" t="s">
        <v>178</v>
      </c>
      <c r="F90" s="11">
        <v>851</v>
      </c>
      <c r="G90" s="9">
        <v>291</v>
      </c>
      <c r="H90" s="9"/>
      <c r="I90" s="147">
        <f>'расчеты м 2019'!F87</f>
        <v>610</v>
      </c>
      <c r="J90" s="148"/>
      <c r="K90" s="147">
        <v>200</v>
      </c>
      <c r="L90" s="147">
        <v>200</v>
      </c>
    </row>
    <row r="91" spans="1:12" s="126" customFormat="1" ht="12.75">
      <c r="A91" s="10" t="s">
        <v>101</v>
      </c>
      <c r="B91" s="138">
        <f t="shared" si="3"/>
        <v>60</v>
      </c>
      <c r="C91" s="138">
        <v>7</v>
      </c>
      <c r="D91" s="138">
        <v>1</v>
      </c>
      <c r="E91" s="139" t="s">
        <v>178</v>
      </c>
      <c r="F91" s="11">
        <v>852</v>
      </c>
      <c r="G91" s="9">
        <v>290</v>
      </c>
      <c r="H91" s="9"/>
      <c r="I91" s="147"/>
      <c r="J91" s="148"/>
      <c r="K91" s="147"/>
      <c r="L91" s="147"/>
    </row>
    <row r="92" spans="1:12" s="126" customFormat="1" ht="12.75">
      <c r="A92" s="10" t="s">
        <v>102</v>
      </c>
      <c r="B92" s="138">
        <f t="shared" si="3"/>
        <v>61</v>
      </c>
      <c r="C92" s="138">
        <v>7</v>
      </c>
      <c r="D92" s="138">
        <v>1</v>
      </c>
      <c r="E92" s="139" t="s">
        <v>178</v>
      </c>
      <c r="F92" s="11">
        <v>853</v>
      </c>
      <c r="G92" s="9">
        <v>292</v>
      </c>
      <c r="H92" s="9"/>
      <c r="I92" s="147">
        <f>'расчеты м 2019'!F88</f>
        <v>0</v>
      </c>
      <c r="J92" s="148"/>
      <c r="K92" s="147">
        <f>'расчеты м 2020'!F86</f>
        <v>0</v>
      </c>
      <c r="L92" s="147">
        <f>'расчеты м 2021'!F86</f>
        <v>0</v>
      </c>
    </row>
    <row r="93" spans="1:12" s="131" customFormat="1" ht="12.75">
      <c r="A93" s="39" t="s">
        <v>145</v>
      </c>
      <c r="B93" s="132">
        <f>B92+1</f>
        <v>62</v>
      </c>
      <c r="C93" s="132">
        <v>7</v>
      </c>
      <c r="D93" s="132">
        <v>1</v>
      </c>
      <c r="E93" s="133" t="s">
        <v>179</v>
      </c>
      <c r="F93" s="134"/>
      <c r="G93" s="137"/>
      <c r="H93" s="137"/>
      <c r="I93" s="153">
        <f>I94</f>
        <v>22100</v>
      </c>
      <c r="J93" s="154"/>
      <c r="K93" s="153"/>
      <c r="L93" s="153"/>
    </row>
    <row r="94" spans="1:12" s="126" customFormat="1" ht="12.75">
      <c r="A94" s="149" t="s">
        <v>36</v>
      </c>
      <c r="B94" s="138">
        <f t="shared" si="3"/>
        <v>63</v>
      </c>
      <c r="C94" s="122">
        <v>7</v>
      </c>
      <c r="D94" s="122">
        <v>1</v>
      </c>
      <c r="E94" s="123" t="s">
        <v>179</v>
      </c>
      <c r="F94" s="128">
        <v>240</v>
      </c>
      <c r="G94" s="149">
        <v>220</v>
      </c>
      <c r="H94" s="9"/>
      <c r="I94" s="147">
        <f>I95</f>
        <v>22100</v>
      </c>
      <c r="J94" s="148"/>
      <c r="K94" s="147"/>
      <c r="L94" s="147"/>
    </row>
    <row r="95" spans="1:12" s="126" customFormat="1" ht="12.75">
      <c r="A95" s="9" t="s">
        <v>39</v>
      </c>
      <c r="B95" s="138">
        <f t="shared" si="3"/>
        <v>64</v>
      </c>
      <c r="C95" s="138">
        <v>7</v>
      </c>
      <c r="D95" s="138">
        <v>1</v>
      </c>
      <c r="E95" s="139" t="s">
        <v>179</v>
      </c>
      <c r="F95" s="11">
        <v>244</v>
      </c>
      <c r="G95" s="9">
        <v>223</v>
      </c>
      <c r="H95" s="9"/>
      <c r="I95" s="147">
        <f>I96</f>
        <v>22100</v>
      </c>
      <c r="J95" s="148"/>
      <c r="K95" s="147"/>
      <c r="L95" s="147"/>
    </row>
    <row r="96" spans="1:12" s="126" customFormat="1" ht="12.75">
      <c r="A96" s="151" t="s">
        <v>44</v>
      </c>
      <c r="B96" s="138">
        <f t="shared" si="3"/>
        <v>65</v>
      </c>
      <c r="C96" s="138">
        <v>7</v>
      </c>
      <c r="D96" s="138">
        <v>1</v>
      </c>
      <c r="E96" s="139" t="s">
        <v>179</v>
      </c>
      <c r="F96" s="11">
        <v>244</v>
      </c>
      <c r="G96" s="9">
        <v>223</v>
      </c>
      <c r="H96" s="161">
        <v>3</v>
      </c>
      <c r="I96" s="147">
        <f>кредиторка!F20</f>
        <v>22100</v>
      </c>
      <c r="J96" s="148"/>
      <c r="K96" s="147"/>
      <c r="L96" s="147"/>
    </row>
    <row r="97" spans="1:12" s="131" customFormat="1" ht="12.75">
      <c r="A97" s="175" t="s">
        <v>207</v>
      </c>
      <c r="B97" s="132">
        <f t="shared" si="3"/>
        <v>66</v>
      </c>
      <c r="C97" s="132">
        <v>7</v>
      </c>
      <c r="D97" s="132">
        <v>1</v>
      </c>
      <c r="E97" s="133" t="s">
        <v>208</v>
      </c>
      <c r="F97" s="134"/>
      <c r="G97" s="137"/>
      <c r="H97" s="176"/>
      <c r="I97" s="153">
        <f>I98</f>
        <v>0</v>
      </c>
      <c r="J97" s="154"/>
      <c r="K97" s="153"/>
      <c r="L97" s="153"/>
    </row>
    <row r="98" spans="1:12" s="180" customFormat="1" ht="12.75">
      <c r="A98" s="100" t="s">
        <v>51</v>
      </c>
      <c r="B98" s="156">
        <f t="shared" si="3"/>
        <v>67</v>
      </c>
      <c r="C98" s="156">
        <v>7</v>
      </c>
      <c r="D98" s="156">
        <v>1</v>
      </c>
      <c r="E98" s="157" t="s">
        <v>208</v>
      </c>
      <c r="F98" s="159">
        <v>830</v>
      </c>
      <c r="G98" s="177">
        <v>290</v>
      </c>
      <c r="H98" s="178"/>
      <c r="I98" s="158">
        <f>I99</f>
        <v>0</v>
      </c>
      <c r="J98" s="179"/>
      <c r="K98" s="158"/>
      <c r="L98" s="158"/>
    </row>
    <row r="99" spans="1:12" s="126" customFormat="1" ht="12.75">
      <c r="A99" s="174" t="s">
        <v>209</v>
      </c>
      <c r="B99" s="138">
        <f t="shared" si="3"/>
        <v>68</v>
      </c>
      <c r="C99" s="138">
        <v>7</v>
      </c>
      <c r="D99" s="138">
        <v>1</v>
      </c>
      <c r="E99" s="139" t="s">
        <v>208</v>
      </c>
      <c r="F99" s="11">
        <v>831</v>
      </c>
      <c r="G99" s="9">
        <v>296</v>
      </c>
      <c r="H99" s="161"/>
      <c r="I99" s="147">
        <f>'расчеты м 2019'!F86</f>
        <v>0</v>
      </c>
      <c r="J99" s="148"/>
      <c r="K99" s="147"/>
      <c r="L99" s="147"/>
    </row>
    <row r="100" spans="1:12" s="126" customFormat="1" ht="36.75">
      <c r="A100" s="94" t="s">
        <v>210</v>
      </c>
      <c r="B100" s="89">
        <f t="shared" si="3"/>
        <v>69</v>
      </c>
      <c r="C100" s="89">
        <v>7</v>
      </c>
      <c r="D100" s="89">
        <v>1</v>
      </c>
      <c r="E100" s="121" t="s">
        <v>211</v>
      </c>
      <c r="F100" s="90"/>
      <c r="G100" s="181"/>
      <c r="H100" s="181"/>
      <c r="I100" s="182" t="e">
        <f>I101</f>
        <v>#REF!</v>
      </c>
      <c r="J100" s="185"/>
      <c r="K100" s="186"/>
      <c r="L100" s="186"/>
    </row>
    <row r="101" spans="1:12" s="126" customFormat="1" ht="18.75">
      <c r="A101" s="30" t="s">
        <v>212</v>
      </c>
      <c r="B101" s="122">
        <f t="shared" si="3"/>
        <v>70</v>
      </c>
      <c r="C101" s="122">
        <v>7</v>
      </c>
      <c r="D101" s="122">
        <v>1</v>
      </c>
      <c r="E101" s="123" t="s">
        <v>213</v>
      </c>
      <c r="F101" s="128"/>
      <c r="G101" s="149"/>
      <c r="H101" s="149"/>
      <c r="I101" s="150" t="e">
        <f>I102</f>
        <v>#REF!</v>
      </c>
      <c r="J101" s="148"/>
      <c r="K101" s="147"/>
      <c r="L101" s="147"/>
    </row>
    <row r="102" spans="1:12" s="126" customFormat="1" ht="19.5">
      <c r="A102" s="10" t="s">
        <v>214</v>
      </c>
      <c r="B102" s="138">
        <f t="shared" si="3"/>
        <v>71</v>
      </c>
      <c r="C102" s="138">
        <v>7</v>
      </c>
      <c r="D102" s="138">
        <v>1</v>
      </c>
      <c r="E102" s="139" t="s">
        <v>215</v>
      </c>
      <c r="F102" s="11"/>
      <c r="G102" s="9"/>
      <c r="H102" s="9"/>
      <c r="I102" s="147" t="e">
        <f>I103</f>
        <v>#REF!</v>
      </c>
      <c r="J102" s="148"/>
      <c r="K102" s="147"/>
      <c r="L102" s="147"/>
    </row>
    <row r="103" spans="1:12" s="126" customFormat="1" ht="19.5">
      <c r="A103" s="183" t="s">
        <v>216</v>
      </c>
      <c r="B103" s="138">
        <f t="shared" si="3"/>
        <v>72</v>
      </c>
      <c r="C103" s="138">
        <v>7</v>
      </c>
      <c r="D103" s="138">
        <v>1</v>
      </c>
      <c r="E103" s="139" t="s">
        <v>217</v>
      </c>
      <c r="F103" s="11"/>
      <c r="G103" s="9"/>
      <c r="H103" s="152"/>
      <c r="I103" s="147" t="e">
        <f>I104</f>
        <v>#REF!</v>
      </c>
      <c r="J103" s="148"/>
      <c r="K103" s="147"/>
      <c r="L103" s="147"/>
    </row>
    <row r="104" spans="1:12" s="126" customFormat="1" ht="12.75">
      <c r="A104" s="30" t="s">
        <v>52</v>
      </c>
      <c r="B104" s="122">
        <f t="shared" si="3"/>
        <v>73</v>
      </c>
      <c r="C104" s="122">
        <v>7</v>
      </c>
      <c r="D104" s="122">
        <v>1</v>
      </c>
      <c r="E104" s="123" t="s">
        <v>217</v>
      </c>
      <c r="F104" s="128">
        <v>240</v>
      </c>
      <c r="G104" s="149">
        <v>300</v>
      </c>
      <c r="H104" s="184"/>
      <c r="I104" s="150" t="e">
        <f>I105</f>
        <v>#REF!</v>
      </c>
      <c r="J104" s="148"/>
      <c r="K104" s="147"/>
      <c r="L104" s="147"/>
    </row>
    <row r="105" spans="1:12" s="126" customFormat="1" ht="19.5">
      <c r="A105" s="10" t="s">
        <v>54</v>
      </c>
      <c r="B105" s="138">
        <f t="shared" si="3"/>
        <v>74</v>
      </c>
      <c r="C105" s="138">
        <v>7</v>
      </c>
      <c r="D105" s="138">
        <v>1</v>
      </c>
      <c r="E105" s="139" t="s">
        <v>217</v>
      </c>
      <c r="F105" s="11">
        <v>244</v>
      </c>
      <c r="G105" s="9">
        <v>340</v>
      </c>
      <c r="H105" s="152" t="s">
        <v>204</v>
      </c>
      <c r="I105" s="147" t="e">
        <f>#REF!</f>
        <v>#REF!</v>
      </c>
      <c r="J105" s="148"/>
      <c r="K105" s="147"/>
      <c r="L105" s="147"/>
    </row>
    <row r="106" spans="1:12" s="144" customFormat="1" ht="12.75">
      <c r="A106" s="30" t="s">
        <v>222</v>
      </c>
      <c r="B106" s="122">
        <f>B105+1</f>
        <v>75</v>
      </c>
      <c r="C106" s="122">
        <v>7</v>
      </c>
      <c r="D106" s="122">
        <v>3</v>
      </c>
      <c r="E106" s="123"/>
      <c r="F106" s="128"/>
      <c r="G106" s="149"/>
      <c r="H106" s="184"/>
      <c r="I106" s="150" t="e">
        <f>I107</f>
        <v>#REF!</v>
      </c>
      <c r="J106" s="155"/>
      <c r="K106" s="150"/>
      <c r="L106" s="150"/>
    </row>
    <row r="107" spans="1:12" s="126" customFormat="1" ht="36.75">
      <c r="A107" s="94" t="s">
        <v>180</v>
      </c>
      <c r="B107" s="89">
        <f>B106+1</f>
        <v>76</v>
      </c>
      <c r="C107" s="89">
        <v>7</v>
      </c>
      <c r="D107" s="89">
        <v>3</v>
      </c>
      <c r="E107" s="121" t="s">
        <v>181</v>
      </c>
      <c r="F107" s="90"/>
      <c r="G107" s="181"/>
      <c r="H107" s="187"/>
      <c r="I107" s="182" t="e">
        <f>I108</f>
        <v>#REF!</v>
      </c>
      <c r="J107" s="148"/>
      <c r="K107" s="147"/>
      <c r="L107" s="147"/>
    </row>
    <row r="108" spans="1:12" s="126" customFormat="1" ht="27.75">
      <c r="A108" s="30" t="s">
        <v>182</v>
      </c>
      <c r="B108" s="122">
        <f t="shared" si="3"/>
        <v>77</v>
      </c>
      <c r="C108" s="122">
        <v>7</v>
      </c>
      <c r="D108" s="122">
        <v>3</v>
      </c>
      <c r="E108" s="123" t="s">
        <v>218</v>
      </c>
      <c r="F108" s="128"/>
      <c r="G108" s="149"/>
      <c r="H108" s="184"/>
      <c r="I108" s="150" t="e">
        <f>I109</f>
        <v>#REF!</v>
      </c>
      <c r="J108" s="148"/>
      <c r="K108" s="147"/>
      <c r="L108" s="147"/>
    </row>
    <row r="109" spans="1:12" s="126" customFormat="1" ht="18.75">
      <c r="A109" s="91" t="s">
        <v>219</v>
      </c>
      <c r="B109" s="132">
        <f t="shared" si="3"/>
        <v>78</v>
      </c>
      <c r="C109" s="132">
        <v>7</v>
      </c>
      <c r="D109" s="132">
        <v>3</v>
      </c>
      <c r="E109" s="133" t="s">
        <v>183</v>
      </c>
      <c r="F109" s="134"/>
      <c r="G109" s="137"/>
      <c r="H109" s="188"/>
      <c r="I109" s="153" t="e">
        <f>I110</f>
        <v>#REF!</v>
      </c>
      <c r="J109" s="148"/>
      <c r="K109" s="147"/>
      <c r="L109" s="147"/>
    </row>
    <row r="110" spans="1:12" s="126" customFormat="1" ht="45.75">
      <c r="A110" s="91" t="s">
        <v>220</v>
      </c>
      <c r="B110" s="132">
        <f t="shared" si="3"/>
        <v>79</v>
      </c>
      <c r="C110" s="132">
        <v>7</v>
      </c>
      <c r="D110" s="132">
        <v>3</v>
      </c>
      <c r="E110" s="133" t="s">
        <v>221</v>
      </c>
      <c r="F110" s="134"/>
      <c r="G110" s="137"/>
      <c r="H110" s="188"/>
      <c r="I110" s="153" t="e">
        <f>I111+I113</f>
        <v>#REF!</v>
      </c>
      <c r="J110" s="148"/>
      <c r="K110" s="147"/>
      <c r="L110" s="147"/>
    </row>
    <row r="111" spans="1:12" s="126" customFormat="1" ht="12.75">
      <c r="A111" s="189" t="s">
        <v>36</v>
      </c>
      <c r="B111" s="156">
        <f t="shared" si="3"/>
        <v>80</v>
      </c>
      <c r="C111" s="156">
        <v>7</v>
      </c>
      <c r="D111" s="156">
        <v>3</v>
      </c>
      <c r="E111" s="157" t="s">
        <v>221</v>
      </c>
      <c r="F111" s="159">
        <v>240</v>
      </c>
      <c r="G111" s="177">
        <v>220</v>
      </c>
      <c r="H111" s="190"/>
      <c r="I111" s="158" t="e">
        <f>I112</f>
        <v>#REF!</v>
      </c>
      <c r="J111" s="148"/>
      <c r="K111" s="147"/>
      <c r="L111" s="147"/>
    </row>
    <row r="112" spans="1:12" s="126" customFormat="1" ht="12.75">
      <c r="A112" s="183" t="s">
        <v>50</v>
      </c>
      <c r="B112" s="138">
        <f t="shared" si="3"/>
        <v>81</v>
      </c>
      <c r="C112" s="138">
        <v>7</v>
      </c>
      <c r="D112" s="138">
        <v>3</v>
      </c>
      <c r="E112" s="139" t="s">
        <v>221</v>
      </c>
      <c r="F112" s="11">
        <v>244</v>
      </c>
      <c r="G112" s="9">
        <v>226</v>
      </c>
      <c r="H112" s="152" t="s">
        <v>204</v>
      </c>
      <c r="I112" s="147" t="e">
        <f>#REF!</f>
        <v>#REF!</v>
      </c>
      <c r="J112" s="148"/>
      <c r="K112" s="147"/>
      <c r="L112" s="147"/>
    </row>
    <row r="113" spans="1:12" s="180" customFormat="1" ht="12.75">
      <c r="A113" s="189" t="s">
        <v>52</v>
      </c>
      <c r="B113" s="156">
        <f>B112+1</f>
        <v>82</v>
      </c>
      <c r="C113" s="156">
        <v>7</v>
      </c>
      <c r="D113" s="156">
        <v>3</v>
      </c>
      <c r="E113" s="157" t="s">
        <v>221</v>
      </c>
      <c r="F113" s="159">
        <v>240</v>
      </c>
      <c r="G113" s="177">
        <v>300</v>
      </c>
      <c r="H113" s="190"/>
      <c r="I113" s="158" t="e">
        <f>I114</f>
        <v>#REF!</v>
      </c>
      <c r="J113" s="179"/>
      <c r="K113" s="158"/>
      <c r="L113" s="158"/>
    </row>
    <row r="114" spans="1:12" s="126" customFormat="1" ht="12.75">
      <c r="A114" s="183" t="s">
        <v>53</v>
      </c>
      <c r="B114" s="138">
        <f>B113+1</f>
        <v>83</v>
      </c>
      <c r="C114" s="138">
        <v>7</v>
      </c>
      <c r="D114" s="138">
        <v>3</v>
      </c>
      <c r="E114" s="139" t="s">
        <v>221</v>
      </c>
      <c r="F114" s="11">
        <v>244</v>
      </c>
      <c r="G114" s="9">
        <v>310</v>
      </c>
      <c r="H114" s="152" t="s">
        <v>204</v>
      </c>
      <c r="I114" s="147" t="e">
        <f>#REF!</f>
        <v>#REF!</v>
      </c>
      <c r="J114" s="148"/>
      <c r="K114" s="147"/>
      <c r="L114" s="147"/>
    </row>
    <row r="115" spans="1:12" s="3" customFormat="1" ht="9.75">
      <c r="A115" s="11" t="s">
        <v>55</v>
      </c>
      <c r="B115" s="80"/>
      <c r="C115" s="7"/>
      <c r="D115" s="7"/>
      <c r="E115" s="7"/>
      <c r="F115" s="7"/>
      <c r="G115" s="7"/>
      <c r="H115" s="7"/>
      <c r="I115" s="18" t="e">
        <f>I30</f>
        <v>#REF!</v>
      </c>
      <c r="J115" s="18"/>
      <c r="K115" s="18" t="e">
        <f>K30</f>
        <v>#REF!</v>
      </c>
      <c r="L115" s="18" t="e">
        <f>L30</f>
        <v>#REF!</v>
      </c>
    </row>
    <row r="116" ht="12.75">
      <c r="P116" s="99"/>
    </row>
    <row r="117" spans="1:12" s="3" customFormat="1" ht="9.75">
      <c r="A117" s="3" t="s">
        <v>90</v>
      </c>
      <c r="B117" s="57"/>
      <c r="F117" s="3" t="s">
        <v>1</v>
      </c>
      <c r="I117" s="101"/>
      <c r="K117" s="101"/>
      <c r="L117" s="101"/>
    </row>
    <row r="118" spans="2:12" s="3" customFormat="1" ht="9.75">
      <c r="B118" s="57"/>
      <c r="I118" s="101"/>
      <c r="K118" s="102"/>
      <c r="L118" s="102"/>
    </row>
    <row r="119" spans="1:6" s="3" customFormat="1" ht="9.75">
      <c r="A119" s="3" t="s">
        <v>91</v>
      </c>
      <c r="B119" s="57"/>
      <c r="F119" s="3" t="s">
        <v>56</v>
      </c>
    </row>
    <row r="120" spans="1:9" ht="12.75">
      <c r="A120" s="3" t="s">
        <v>57</v>
      </c>
      <c r="I120" s="99"/>
    </row>
    <row r="123" spans="9:12" ht="12.75">
      <c r="I123" s="172" t="e">
        <f>#REF!-'смета (2)'!I115</f>
        <v>#REF!</v>
      </c>
      <c r="J123" s="1"/>
      <c r="K123" s="173" t="e">
        <f>#REF!-'смета (2)'!K115</f>
        <v>#REF!</v>
      </c>
      <c r="L123" s="173" t="e">
        <f>#REF!-'смета (2)'!L115</f>
        <v>#REF!</v>
      </c>
    </row>
    <row r="124" spans="9:12" ht="12.75">
      <c r="I124" s="99"/>
      <c r="K124" s="99"/>
      <c r="L124" s="99"/>
    </row>
  </sheetData>
  <sheetProtection/>
  <mergeCells count="23">
    <mergeCell ref="L27:L28"/>
    <mergeCell ref="J24:K25"/>
    <mergeCell ref="A12:G12"/>
    <mergeCell ref="B16:G16"/>
    <mergeCell ref="J16:K17"/>
    <mergeCell ref="J8:K9"/>
    <mergeCell ref="J10:K11"/>
    <mergeCell ref="A11:G11"/>
    <mergeCell ref="J1:L1"/>
    <mergeCell ref="J2:L2"/>
    <mergeCell ref="J12:K13"/>
    <mergeCell ref="A27:A28"/>
    <mergeCell ref="B27:B28"/>
    <mergeCell ref="C27:H27"/>
    <mergeCell ref="I27:J27"/>
    <mergeCell ref="B18:G18"/>
    <mergeCell ref="J18:K19"/>
    <mergeCell ref="B22:G22"/>
    <mergeCell ref="J20:K21"/>
    <mergeCell ref="J22:K23"/>
    <mergeCell ref="K27:K28"/>
    <mergeCell ref="B14:G14"/>
    <mergeCell ref="J14:K15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K150"/>
  <sheetViews>
    <sheetView showGridLines="0" tabSelected="1" zoomScalePageLayoutView="0" workbookViewId="0" topLeftCell="A56">
      <selection activeCell="B110" sqref="B110:G110"/>
    </sheetView>
  </sheetViews>
  <sheetFormatPr defaultColWidth="9.140625" defaultRowHeight="12.75" outlineLevelRow="1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9.00390625" style="12" customWidth="1"/>
    <col min="7" max="7" width="11.140625" style="12" customWidth="1"/>
    <col min="8" max="9" width="11.710937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7" customHeight="1">
      <c r="E3" s="12" t="s">
        <v>237</v>
      </c>
    </row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196</v>
      </c>
      <c r="C8" s="334"/>
      <c r="D8" s="334"/>
    </row>
    <row r="9" ht="6.75" customHeight="1"/>
    <row r="10" spans="2:4" ht="12.75">
      <c r="B10" s="341" t="s">
        <v>59</v>
      </c>
      <c r="C10" s="341"/>
      <c r="D10" s="341"/>
    </row>
    <row r="11" ht="13.5" customHeight="1"/>
    <row r="12" spans="2:5" ht="23.25" customHeight="1">
      <c r="B12" s="22" t="s">
        <v>60</v>
      </c>
      <c r="C12" s="23" t="s">
        <v>61</v>
      </c>
      <c r="D12" s="339" t="s">
        <v>62</v>
      </c>
      <c r="E12" s="339"/>
    </row>
    <row r="13" spans="2:5" ht="12.75">
      <c r="B13" s="25">
        <v>1</v>
      </c>
      <c r="C13" s="17">
        <v>2</v>
      </c>
      <c r="D13" s="338">
        <v>3</v>
      </c>
      <c r="E13" s="338"/>
    </row>
    <row r="14" spans="2:5" ht="12.75" customHeight="1">
      <c r="B14" s="25">
        <v>1</v>
      </c>
      <c r="C14" s="17" t="s">
        <v>33</v>
      </c>
      <c r="D14" s="336">
        <v>856100</v>
      </c>
      <c r="E14" s="336"/>
    </row>
    <row r="15" spans="2:5" ht="12.75" customHeight="1">
      <c r="B15" s="25"/>
      <c r="C15" s="44" t="s">
        <v>63</v>
      </c>
      <c r="D15" s="337"/>
      <c r="E15" s="337"/>
    </row>
    <row r="16" spans="2:11" ht="12.75" customHeight="1">
      <c r="B16" s="25"/>
      <c r="C16" s="44" t="s">
        <v>64</v>
      </c>
      <c r="D16" s="337">
        <f>D17+D18</f>
        <v>862855.212</v>
      </c>
      <c r="E16" s="337"/>
      <c r="H16" s="12">
        <v>856100</v>
      </c>
      <c r="I16" s="85">
        <f>H16-D16</f>
        <v>-6755.212000000058</v>
      </c>
      <c r="K16" s="12">
        <v>84023.73</v>
      </c>
    </row>
    <row r="17" spans="2:11" ht="12.75" customHeight="1">
      <c r="B17" s="25"/>
      <c r="C17" s="59" t="s">
        <v>223</v>
      </c>
      <c r="D17" s="342">
        <f>84023.73*9.4</f>
        <v>789823.062</v>
      </c>
      <c r="E17" s="342"/>
      <c r="K17" s="12">
        <v>73032.1587030717</v>
      </c>
    </row>
    <row r="18" spans="2:5" ht="12.75" customHeight="1">
      <c r="B18" s="25"/>
      <c r="C18" s="59" t="s">
        <v>105</v>
      </c>
      <c r="D18" s="342">
        <v>73032.15</v>
      </c>
      <c r="E18" s="342"/>
    </row>
    <row r="21" spans="2:4" ht="12.75" outlineLevel="1">
      <c r="B21" s="341" t="s">
        <v>65</v>
      </c>
      <c r="C21" s="341"/>
      <c r="D21" s="341"/>
    </row>
    <row r="22" ht="12.75" outlineLevel="1"/>
    <row r="23" spans="2:7" ht="57" customHeight="1" outlineLevel="1">
      <c r="B23" s="22" t="s">
        <v>60</v>
      </c>
      <c r="C23" s="52" t="s">
        <v>61</v>
      </c>
      <c r="D23" s="22" t="s">
        <v>66</v>
      </c>
      <c r="E23" s="22" t="s">
        <v>67</v>
      </c>
      <c r="F23" s="22" t="s">
        <v>68</v>
      </c>
      <c r="G23" s="23" t="s">
        <v>110</v>
      </c>
    </row>
    <row r="24" spans="2:7" ht="12.75" outlineLevel="1">
      <c r="B24" s="17">
        <v>1</v>
      </c>
      <c r="C24" s="47">
        <v>2</v>
      </c>
      <c r="D24" s="17">
        <v>3</v>
      </c>
      <c r="E24" s="49">
        <v>4</v>
      </c>
      <c r="F24" s="23">
        <v>5</v>
      </c>
      <c r="G24" s="49">
        <v>6</v>
      </c>
    </row>
    <row r="25" spans="2:7" ht="13.5" customHeight="1" outlineLevel="1">
      <c r="B25" s="25">
        <v>1</v>
      </c>
      <c r="C25" s="44" t="s">
        <v>140</v>
      </c>
      <c r="D25" s="17"/>
      <c r="E25" s="34"/>
      <c r="F25" s="22"/>
      <c r="G25" s="34">
        <f>G26</f>
        <v>1800</v>
      </c>
    </row>
    <row r="26" spans="2:7" ht="11.25" customHeight="1" outlineLevel="1">
      <c r="B26" s="25"/>
      <c r="C26" s="44" t="s">
        <v>141</v>
      </c>
      <c r="D26" s="17">
        <v>3</v>
      </c>
      <c r="E26" s="49">
        <v>4</v>
      </c>
      <c r="F26" s="17">
        <v>150</v>
      </c>
      <c r="G26" s="34">
        <f>F26*E26*D26</f>
        <v>1800</v>
      </c>
    </row>
    <row r="27" spans="2:7" s="105" customFormat="1" ht="12.75" customHeight="1" outlineLevel="1">
      <c r="B27" s="103"/>
      <c r="C27" s="53" t="s">
        <v>2</v>
      </c>
      <c r="D27" s="38"/>
      <c r="E27" s="78"/>
      <c r="F27" s="104"/>
      <c r="G27" s="78">
        <f>G25</f>
        <v>1800</v>
      </c>
    </row>
    <row r="28" spans="2:4" ht="12.75">
      <c r="B28" s="24"/>
      <c r="C28" s="24"/>
      <c r="D28" s="24"/>
    </row>
    <row r="29" spans="2:7" ht="12.75" customHeight="1">
      <c r="B29" s="340" t="s">
        <v>114</v>
      </c>
      <c r="C29" s="340"/>
      <c r="D29" s="340"/>
      <c r="E29" s="340"/>
      <c r="F29" s="340"/>
      <c r="G29" s="340"/>
    </row>
    <row r="30" spans="2:4" ht="25.5" customHeight="1">
      <c r="B30" s="24"/>
      <c r="C30" s="24"/>
      <c r="D30" s="24"/>
    </row>
    <row r="31" spans="2:5" ht="21.75" customHeight="1">
      <c r="B31" s="22" t="s">
        <v>60</v>
      </c>
      <c r="C31" s="23" t="s">
        <v>61</v>
      </c>
      <c r="D31" s="339" t="s">
        <v>62</v>
      </c>
      <c r="E31" s="339"/>
    </row>
    <row r="32" spans="2:5" ht="12.75">
      <c r="B32" s="23">
        <v>1</v>
      </c>
      <c r="C32" s="23">
        <v>2</v>
      </c>
      <c r="D32" s="339">
        <v>3</v>
      </c>
      <c r="E32" s="339"/>
    </row>
    <row r="33" spans="2:6" ht="18" customHeight="1">
      <c r="B33" s="25">
        <v>1</v>
      </c>
      <c r="C33" s="44" t="s">
        <v>70</v>
      </c>
      <c r="D33" s="336">
        <f>D34+D35</f>
        <v>258500</v>
      </c>
      <c r="E33" s="336"/>
      <c r="F33" s="33"/>
    </row>
    <row r="34" spans="2:6" ht="12.75" customHeight="1">
      <c r="B34" s="25"/>
      <c r="C34" s="48" t="s">
        <v>71</v>
      </c>
      <c r="D34" s="335"/>
      <c r="E34" s="335"/>
      <c r="F34" s="33"/>
    </row>
    <row r="35" spans="2:6" ht="12.75" customHeight="1">
      <c r="B35" s="25"/>
      <c r="C35" s="48" t="s">
        <v>74</v>
      </c>
      <c r="D35" s="337">
        <v>258500</v>
      </c>
      <c r="E35" s="337"/>
      <c r="F35" s="33"/>
    </row>
    <row r="36" spans="2:6" ht="12.75" customHeight="1" hidden="1">
      <c r="B36" s="25"/>
      <c r="C36" s="44" t="s">
        <v>72</v>
      </c>
      <c r="D36" s="338">
        <v>24905</v>
      </c>
      <c r="E36" s="338"/>
      <c r="F36" s="33"/>
    </row>
    <row r="37" spans="2:5" ht="12.75" customHeight="1" hidden="1">
      <c r="B37" s="25"/>
      <c r="C37" s="44" t="s">
        <v>73</v>
      </c>
      <c r="D37" s="338">
        <v>217722</v>
      </c>
      <c r="E37" s="338"/>
    </row>
    <row r="38" spans="2:4" ht="12.75">
      <c r="B38" s="26"/>
      <c r="C38" s="27"/>
      <c r="D38" s="13"/>
    </row>
    <row r="39" spans="2:4" ht="12.75">
      <c r="B39" s="26"/>
      <c r="C39" s="27"/>
      <c r="D39" s="13"/>
    </row>
    <row r="40" spans="2:6" ht="12.75">
      <c r="B40" s="341" t="s">
        <v>75</v>
      </c>
      <c r="C40" s="341"/>
      <c r="D40" s="341"/>
      <c r="E40" s="341"/>
      <c r="F40" s="341"/>
    </row>
    <row r="42" spans="2:7" ht="49.5" customHeight="1">
      <c r="B42" s="22" t="s">
        <v>60</v>
      </c>
      <c r="C42" s="52" t="s">
        <v>61</v>
      </c>
      <c r="D42" s="23" t="s">
        <v>108</v>
      </c>
      <c r="E42" s="34" t="s">
        <v>112</v>
      </c>
      <c r="F42" s="23" t="s">
        <v>109</v>
      </c>
      <c r="G42" s="22" t="s">
        <v>111</v>
      </c>
    </row>
    <row r="43" spans="2:7" ht="13.5" customHeight="1">
      <c r="B43" s="17">
        <v>1</v>
      </c>
      <c r="C43" s="47">
        <v>2</v>
      </c>
      <c r="D43" s="17">
        <v>3</v>
      </c>
      <c r="E43" s="34"/>
      <c r="F43" s="49">
        <v>4</v>
      </c>
      <c r="G43" s="49">
        <v>5</v>
      </c>
    </row>
    <row r="44" spans="2:8" ht="45" customHeight="1">
      <c r="B44" s="110">
        <v>1</v>
      </c>
      <c r="C44" s="111" t="s">
        <v>76</v>
      </c>
      <c r="D44" s="112"/>
      <c r="E44" s="34"/>
      <c r="F44" s="112"/>
      <c r="G44" s="163">
        <v>4150</v>
      </c>
      <c r="H44" s="12">
        <f>G44-G45-G46</f>
        <v>0</v>
      </c>
    </row>
    <row r="45" spans="2:8" ht="12.75" customHeight="1">
      <c r="B45" s="34"/>
      <c r="C45" s="54" t="s">
        <v>106</v>
      </c>
      <c r="D45" s="49">
        <v>261.4</v>
      </c>
      <c r="E45" s="49">
        <v>104.7</v>
      </c>
      <c r="F45" s="49">
        <v>12</v>
      </c>
      <c r="G45" s="164">
        <v>3290</v>
      </c>
      <c r="H45" s="12">
        <f>D45*F45*E45/100</f>
        <v>3284.2295999999997</v>
      </c>
    </row>
    <row r="46" spans="2:11" ht="12.75" customHeight="1">
      <c r="B46" s="34"/>
      <c r="C46" s="54" t="s">
        <v>107</v>
      </c>
      <c r="D46" s="49">
        <v>0.56</v>
      </c>
      <c r="E46" s="49">
        <v>104.7</v>
      </c>
      <c r="F46" s="49">
        <v>1466</v>
      </c>
      <c r="G46" s="164">
        <v>860</v>
      </c>
      <c r="H46" s="12">
        <f>D46*F46*E46/100</f>
        <v>859.54512</v>
      </c>
      <c r="J46" s="12">
        <f>G44-G45</f>
        <v>860</v>
      </c>
      <c r="K46" s="12">
        <f>J46/(D46*E46/100)</f>
        <v>1466.7758220766816</v>
      </c>
    </row>
    <row r="47" spans="2:8" ht="23.25" customHeight="1">
      <c r="B47" s="110">
        <v>2</v>
      </c>
      <c r="C47" s="111" t="s">
        <v>77</v>
      </c>
      <c r="D47" s="112">
        <v>676.53</v>
      </c>
      <c r="E47" s="112">
        <v>104.7</v>
      </c>
      <c r="F47" s="112">
        <v>12</v>
      </c>
      <c r="G47" s="163">
        <v>8500</v>
      </c>
      <c r="H47" s="12">
        <f>D47*F47*E47/100</f>
        <v>8499.92292</v>
      </c>
    </row>
    <row r="48" spans="2:7" ht="12.75">
      <c r="B48" s="34">
        <v>3</v>
      </c>
      <c r="C48" s="54"/>
      <c r="D48" s="49"/>
      <c r="E48" s="49"/>
      <c r="F48" s="49"/>
      <c r="G48" s="164"/>
    </row>
    <row r="49" spans="2:7" ht="12.75">
      <c r="B49" s="35"/>
      <c r="C49" s="60" t="s">
        <v>2</v>
      </c>
      <c r="D49" s="50"/>
      <c r="E49" s="34"/>
      <c r="F49" s="49"/>
      <c r="G49" s="165">
        <f>G44+G47</f>
        <v>12650</v>
      </c>
    </row>
    <row r="51" spans="2:7" ht="12.75">
      <c r="B51" s="341" t="s">
        <v>78</v>
      </c>
      <c r="C51" s="341"/>
      <c r="D51" s="341"/>
      <c r="E51" s="341"/>
      <c r="F51" s="341"/>
      <c r="G51" s="341"/>
    </row>
    <row r="52" ht="12.75" customHeight="1"/>
    <row r="53" spans="2:7" ht="47.25" customHeight="1">
      <c r="B53" s="22" t="s">
        <v>60</v>
      </c>
      <c r="C53" s="52" t="s">
        <v>61</v>
      </c>
      <c r="D53" s="23" t="s">
        <v>79</v>
      </c>
      <c r="E53" s="68" t="s">
        <v>112</v>
      </c>
      <c r="F53" s="23" t="s">
        <v>80</v>
      </c>
      <c r="G53" s="23" t="s">
        <v>113</v>
      </c>
    </row>
    <row r="54" spans="2:7" s="66" customFormat="1" ht="17.25" customHeight="1">
      <c r="B54" s="63">
        <v>1</v>
      </c>
      <c r="C54" s="62">
        <v>2</v>
      </c>
      <c r="D54" s="63">
        <v>3</v>
      </c>
      <c r="E54" s="65">
        <v>4</v>
      </c>
      <c r="F54" s="65">
        <v>5</v>
      </c>
      <c r="G54" s="65">
        <v>6</v>
      </c>
    </row>
    <row r="55" spans="2:10" ht="80.25" customHeight="1">
      <c r="B55" s="25">
        <v>1</v>
      </c>
      <c r="C55" s="67" t="s">
        <v>95</v>
      </c>
      <c r="D55" s="69">
        <v>8.9543</v>
      </c>
      <c r="E55" s="70">
        <v>1</v>
      </c>
      <c r="F55" s="69">
        <v>38230</v>
      </c>
      <c r="G55" s="120">
        <v>342350</v>
      </c>
      <c r="H55" s="12">
        <f>D55*E55*F55/100</f>
        <v>3423.2288900000003</v>
      </c>
      <c r="J55" s="12">
        <f>381080-G55</f>
        <v>38730</v>
      </c>
    </row>
    <row r="56" spans="2:10" ht="27.75" customHeight="1">
      <c r="B56" s="25">
        <v>2</v>
      </c>
      <c r="C56" s="86" t="s">
        <v>125</v>
      </c>
      <c r="D56" s="70">
        <v>2026.87</v>
      </c>
      <c r="E56" s="193">
        <v>1</v>
      </c>
      <c r="F56" s="65">
        <v>257.2</v>
      </c>
      <c r="G56" s="166">
        <v>521310</v>
      </c>
      <c r="H56" s="12">
        <f>D56*E56*F56/100</f>
        <v>5213.109639999999</v>
      </c>
      <c r="J56" s="12">
        <f>505770-G56</f>
        <v>-15540</v>
      </c>
    </row>
    <row r="57" spans="2:10" ht="27.75" customHeight="1">
      <c r="B57" s="58">
        <v>3</v>
      </c>
      <c r="C57" s="46" t="s">
        <v>87</v>
      </c>
      <c r="D57" s="71">
        <v>48.76</v>
      </c>
      <c r="E57" s="65">
        <v>1</v>
      </c>
      <c r="F57" s="65">
        <v>110</v>
      </c>
      <c r="G57" s="166">
        <v>5390</v>
      </c>
      <c r="H57" s="12">
        <f>D57*E57*F57/100</f>
        <v>53.635999999999996</v>
      </c>
      <c r="J57" s="12">
        <f>5235-G57</f>
        <v>-155</v>
      </c>
    </row>
    <row r="58" spans="2:8" ht="12.75" customHeight="1">
      <c r="B58" s="58">
        <v>4</v>
      </c>
      <c r="C58" s="61" t="s">
        <v>48</v>
      </c>
      <c r="D58" s="71">
        <v>100</v>
      </c>
      <c r="E58" s="65">
        <v>1</v>
      </c>
      <c r="F58" s="65">
        <f>G58/D58</f>
        <v>694</v>
      </c>
      <c r="G58" s="166">
        <v>69400</v>
      </c>
      <c r="H58" s="12">
        <f>D58*E58*F58</f>
        <v>69400</v>
      </c>
    </row>
    <row r="59" spans="2:7" ht="12.75">
      <c r="B59" s="25"/>
      <c r="C59" s="60" t="s">
        <v>2</v>
      </c>
      <c r="D59" s="72"/>
      <c r="E59" s="65"/>
      <c r="F59" s="65"/>
      <c r="G59" s="167">
        <f>G55+G56+G57+G58</f>
        <v>938450</v>
      </c>
    </row>
    <row r="61" spans="2:7" ht="12.75" customHeight="1">
      <c r="B61" s="340" t="s">
        <v>81</v>
      </c>
      <c r="C61" s="340"/>
      <c r="D61" s="340"/>
      <c r="E61" s="340"/>
      <c r="F61" s="340"/>
      <c r="G61" s="340"/>
    </row>
    <row r="62" spans="2:4" ht="12.75">
      <c r="B62" s="24"/>
      <c r="C62" s="24"/>
      <c r="D62" s="24"/>
    </row>
    <row r="63" spans="2:7" ht="62.25" customHeight="1">
      <c r="B63" s="22" t="s">
        <v>60</v>
      </c>
      <c r="C63" s="23" t="s">
        <v>61</v>
      </c>
      <c r="D63" s="23" t="s">
        <v>115</v>
      </c>
      <c r="E63" s="68" t="s">
        <v>112</v>
      </c>
      <c r="F63" s="23" t="s">
        <v>80</v>
      </c>
      <c r="G63" s="23" t="s">
        <v>116</v>
      </c>
    </row>
    <row r="64" spans="2:7" s="76" customFormat="1" ht="12.75" customHeight="1">
      <c r="B64" s="63">
        <v>1</v>
      </c>
      <c r="C64" s="63">
        <v>2</v>
      </c>
      <c r="D64" s="63">
        <v>3</v>
      </c>
      <c r="E64" s="68"/>
      <c r="F64" s="65">
        <v>4</v>
      </c>
      <c r="G64" s="65">
        <v>5</v>
      </c>
    </row>
    <row r="65" spans="2:7" ht="12.75" customHeight="1">
      <c r="B65" s="25">
        <v>1</v>
      </c>
      <c r="C65" s="84" t="s">
        <v>126</v>
      </c>
      <c r="D65" s="75">
        <v>3819.91</v>
      </c>
      <c r="E65" s="68"/>
      <c r="F65" s="49">
        <v>12</v>
      </c>
      <c r="G65" s="166">
        <v>45840</v>
      </c>
    </row>
    <row r="66" spans="2:7" ht="12.75" customHeight="1" outlineLevel="1">
      <c r="B66" s="25">
        <v>2</v>
      </c>
      <c r="C66" s="194" t="s">
        <v>224</v>
      </c>
      <c r="D66" s="75">
        <v>500</v>
      </c>
      <c r="E66" s="68">
        <v>0</v>
      </c>
      <c r="F66" s="49">
        <v>12</v>
      </c>
      <c r="G66" s="166">
        <v>6000</v>
      </c>
    </row>
    <row r="67" spans="2:7" ht="14.25" customHeight="1" outlineLevel="1">
      <c r="B67" s="25">
        <v>3</v>
      </c>
      <c r="C67" s="74" t="s">
        <v>142</v>
      </c>
      <c r="D67" s="75">
        <v>2000</v>
      </c>
      <c r="E67" s="68">
        <v>0</v>
      </c>
      <c r="F67" s="49">
        <v>0</v>
      </c>
      <c r="G67" s="166">
        <v>2000</v>
      </c>
    </row>
    <row r="68" spans="2:7" ht="14.25" customHeight="1" outlineLevel="1">
      <c r="B68" s="25"/>
      <c r="C68" s="74"/>
      <c r="D68" s="75"/>
      <c r="E68" s="68"/>
      <c r="F68" s="49"/>
      <c r="G68" s="166"/>
    </row>
    <row r="69" spans="2:9" ht="12.75" customHeight="1">
      <c r="B69" s="25"/>
      <c r="C69" s="51" t="s">
        <v>82</v>
      </c>
      <c r="D69" s="38"/>
      <c r="E69" s="68"/>
      <c r="F69" s="34"/>
      <c r="G69" s="167">
        <f>SUM(G65:G68)</f>
        <v>53840</v>
      </c>
      <c r="H69" s="12">
        <v>66000</v>
      </c>
      <c r="I69" s="12">
        <f>H69-G69</f>
        <v>12160</v>
      </c>
    </row>
    <row r="70" ht="12" customHeight="1"/>
    <row r="71" spans="2:6" ht="12.75" customHeight="1">
      <c r="B71" s="340" t="s">
        <v>118</v>
      </c>
      <c r="C71" s="340"/>
      <c r="D71" s="340"/>
      <c r="E71" s="340"/>
      <c r="F71" s="340"/>
    </row>
    <row r="72" spans="2:4" ht="12.75">
      <c r="B72" s="24"/>
      <c r="C72" s="24"/>
      <c r="D72" s="24"/>
    </row>
    <row r="73" spans="2:7" ht="47.25" customHeight="1">
      <c r="B73" s="22" t="s">
        <v>60</v>
      </c>
      <c r="C73" s="23" t="s">
        <v>61</v>
      </c>
      <c r="D73" s="23" t="s">
        <v>115</v>
      </c>
      <c r="E73" s="34" t="s">
        <v>112</v>
      </c>
      <c r="F73" s="23" t="s">
        <v>80</v>
      </c>
      <c r="G73" s="23" t="s">
        <v>116</v>
      </c>
    </row>
    <row r="74" spans="2:7" s="66" customFormat="1" ht="12">
      <c r="B74" s="63">
        <v>1</v>
      </c>
      <c r="C74" s="63">
        <v>2</v>
      </c>
      <c r="D74" s="63">
        <v>3</v>
      </c>
      <c r="E74" s="65"/>
      <c r="F74" s="65">
        <v>4</v>
      </c>
      <c r="G74" s="65">
        <v>5</v>
      </c>
    </row>
    <row r="75" spans="2:7" ht="12.75" customHeight="1" outlineLevel="1">
      <c r="B75" s="25">
        <v>1</v>
      </c>
      <c r="C75" s="44" t="s">
        <v>123</v>
      </c>
      <c r="D75" s="40">
        <v>3400</v>
      </c>
      <c r="E75" s="49"/>
      <c r="F75" s="49"/>
      <c r="G75" s="168"/>
    </row>
    <row r="76" spans="2:7" ht="12.75" customHeight="1" outlineLevel="1">
      <c r="B76" s="25">
        <v>2</v>
      </c>
      <c r="C76" s="84" t="s">
        <v>199</v>
      </c>
      <c r="D76" s="75">
        <v>433</v>
      </c>
      <c r="E76" s="49">
        <v>0</v>
      </c>
      <c r="F76" s="49">
        <v>12</v>
      </c>
      <c r="G76" s="168"/>
    </row>
    <row r="77" spans="2:7" ht="12.75" customHeight="1" outlineLevel="1">
      <c r="B77" s="25">
        <v>3</v>
      </c>
      <c r="C77" s="44" t="s">
        <v>143</v>
      </c>
      <c r="D77" s="40">
        <v>67850</v>
      </c>
      <c r="E77" s="49"/>
      <c r="F77" s="49"/>
      <c r="G77" s="168"/>
    </row>
    <row r="78" spans="2:7" ht="12.75">
      <c r="B78" s="25">
        <v>1</v>
      </c>
      <c r="C78" s="44" t="s">
        <v>169</v>
      </c>
      <c r="D78" s="40"/>
      <c r="E78" s="49"/>
      <c r="F78" s="49"/>
      <c r="G78" s="164">
        <v>29200</v>
      </c>
    </row>
    <row r="79" spans="2:7" ht="12.75">
      <c r="B79" s="25">
        <v>2</v>
      </c>
      <c r="C79" s="44" t="s">
        <v>154</v>
      </c>
      <c r="D79" s="40"/>
      <c r="E79" s="49"/>
      <c r="F79" s="49"/>
      <c r="G79" s="164">
        <v>2000</v>
      </c>
    </row>
    <row r="80" spans="2:9" ht="12.75" customHeight="1">
      <c r="B80" s="25"/>
      <c r="C80" s="53" t="s">
        <v>82</v>
      </c>
      <c r="D80" s="38"/>
      <c r="E80" s="49"/>
      <c r="F80" s="49"/>
      <c r="G80" s="165">
        <f>SUM(G75:G79)</f>
        <v>31200</v>
      </c>
      <c r="H80" s="12">
        <v>120567</v>
      </c>
      <c r="I80" s="12">
        <f>H80-G80</f>
        <v>89367</v>
      </c>
    </row>
    <row r="82" spans="2:6" ht="12.75" customHeight="1">
      <c r="B82" s="340" t="s">
        <v>226</v>
      </c>
      <c r="C82" s="340"/>
      <c r="D82" s="340"/>
      <c r="E82" s="340"/>
      <c r="F82" s="340"/>
    </row>
    <row r="83" spans="2:4" ht="12.75" customHeight="1">
      <c r="B83" s="24"/>
      <c r="C83" s="24"/>
      <c r="D83" s="24"/>
    </row>
    <row r="84" spans="2:6" s="77" customFormat="1" ht="49.5" customHeight="1">
      <c r="B84" s="22" t="s">
        <v>60</v>
      </c>
      <c r="C84" s="23" t="s">
        <v>61</v>
      </c>
      <c r="D84" s="23" t="s">
        <v>120</v>
      </c>
      <c r="E84" s="23" t="s">
        <v>117</v>
      </c>
      <c r="F84" s="23" t="s">
        <v>116</v>
      </c>
    </row>
    <row r="85" spans="2:6" s="66" customFormat="1" ht="12">
      <c r="B85" s="63">
        <v>1</v>
      </c>
      <c r="C85" s="63">
        <v>2</v>
      </c>
      <c r="D85" s="63">
        <v>3</v>
      </c>
      <c r="E85" s="65">
        <v>4</v>
      </c>
      <c r="F85" s="65">
        <v>5</v>
      </c>
    </row>
    <row r="86" spans="2:8" ht="12.75" customHeight="1">
      <c r="B86" s="25">
        <v>1</v>
      </c>
      <c r="C86" s="44" t="s">
        <v>84</v>
      </c>
      <c r="D86" s="63"/>
      <c r="E86" s="65"/>
      <c r="F86" s="65"/>
      <c r="H86" s="12">
        <f>D86*E86</f>
        <v>0</v>
      </c>
    </row>
    <row r="87" spans="2:9" ht="12.75" customHeight="1">
      <c r="B87" s="25">
        <v>2</v>
      </c>
      <c r="C87" s="44" t="s">
        <v>3</v>
      </c>
      <c r="D87" s="63">
        <v>305</v>
      </c>
      <c r="E87" s="65">
        <v>2</v>
      </c>
      <c r="F87" s="65">
        <v>610</v>
      </c>
      <c r="H87" s="12">
        <f>D87*E87</f>
        <v>610</v>
      </c>
      <c r="I87" s="12">
        <f>F87/E87</f>
        <v>305</v>
      </c>
    </row>
    <row r="88" spans="2:8" ht="12.75" customHeight="1">
      <c r="B88" s="25">
        <v>3</v>
      </c>
      <c r="C88" s="36" t="s">
        <v>103</v>
      </c>
      <c r="D88" s="63"/>
      <c r="E88" s="65"/>
      <c r="F88" s="65"/>
      <c r="H88" s="12">
        <f>D88*E88</f>
        <v>0</v>
      </c>
    </row>
    <row r="89" spans="2:6" ht="12.75" customHeight="1">
      <c r="B89" s="25"/>
      <c r="C89" s="53" t="s">
        <v>2</v>
      </c>
      <c r="D89" s="72"/>
      <c r="E89" s="65"/>
      <c r="F89" s="73">
        <f>SUM(F86:F88)</f>
        <v>610</v>
      </c>
    </row>
    <row r="90" spans="2:4" ht="12.75">
      <c r="B90" s="26"/>
      <c r="C90" s="27"/>
      <c r="D90" s="13"/>
    </row>
    <row r="91" spans="2:6" ht="25.5" customHeight="1">
      <c r="B91" s="340" t="s">
        <v>227</v>
      </c>
      <c r="C91" s="340"/>
      <c r="D91" s="340"/>
      <c r="E91" s="340"/>
      <c r="F91" s="340"/>
    </row>
    <row r="92" spans="2:4" ht="12.75" customHeight="1">
      <c r="B92" s="24"/>
      <c r="C92" s="24"/>
      <c r="D92" s="24"/>
    </row>
    <row r="93" spans="2:6" s="77" customFormat="1" ht="49.5" customHeight="1">
      <c r="B93" s="22" t="s">
        <v>60</v>
      </c>
      <c r="C93" s="23" t="s">
        <v>61</v>
      </c>
      <c r="D93" s="23" t="s">
        <v>120</v>
      </c>
      <c r="E93" s="23" t="s">
        <v>117</v>
      </c>
      <c r="F93" s="23" t="s">
        <v>116</v>
      </c>
    </row>
    <row r="94" spans="2:6" s="66" customFormat="1" ht="12">
      <c r="B94" s="63">
        <v>1</v>
      </c>
      <c r="C94" s="63">
        <v>2</v>
      </c>
      <c r="D94" s="63">
        <v>3</v>
      </c>
      <c r="E94" s="65">
        <v>4</v>
      </c>
      <c r="F94" s="65">
        <v>5</v>
      </c>
    </row>
    <row r="95" spans="2:8" ht="26.25" customHeight="1">
      <c r="B95" s="25">
        <v>1</v>
      </c>
      <c r="C95" s="44" t="s">
        <v>228</v>
      </c>
      <c r="D95" s="63"/>
      <c r="E95" s="65"/>
      <c r="F95" s="65">
        <v>2000</v>
      </c>
      <c r="H95" s="12">
        <f>D95*E95</f>
        <v>0</v>
      </c>
    </row>
    <row r="96" spans="2:6" ht="12.75" customHeight="1">
      <c r="B96" s="25"/>
      <c r="C96" s="44"/>
      <c r="D96" s="63"/>
      <c r="E96" s="65"/>
      <c r="F96" s="65"/>
    </row>
    <row r="97" spans="2:6" ht="12.75" customHeight="1">
      <c r="B97" s="25"/>
      <c r="C97" s="53" t="s">
        <v>2</v>
      </c>
      <c r="D97" s="63"/>
      <c r="E97" s="65"/>
      <c r="F97" s="73">
        <f>F95</f>
        <v>2000</v>
      </c>
    </row>
    <row r="98" spans="2:4" ht="12.75">
      <c r="B98" s="26"/>
      <c r="C98" s="27"/>
      <c r="D98" s="13"/>
    </row>
    <row r="99" spans="2:4" ht="12.75">
      <c r="B99" s="26"/>
      <c r="C99" s="27"/>
      <c r="D99" s="13"/>
    </row>
    <row r="100" spans="2:6" ht="25.5" customHeight="1" outlineLevel="1">
      <c r="B100" s="340" t="s">
        <v>229</v>
      </c>
      <c r="C100" s="340"/>
      <c r="D100" s="340"/>
      <c r="E100" s="340"/>
      <c r="F100" s="340"/>
    </row>
    <row r="101" spans="2:4" ht="12.75" outlineLevel="1">
      <c r="B101" s="24"/>
      <c r="C101" s="24"/>
      <c r="D101" s="24"/>
    </row>
    <row r="102" spans="2:4" ht="36" customHeight="1" outlineLevel="1">
      <c r="B102" s="22" t="s">
        <v>60</v>
      </c>
      <c r="C102" s="23" t="s">
        <v>61</v>
      </c>
      <c r="D102" s="23" t="s">
        <v>62</v>
      </c>
    </row>
    <row r="103" spans="2:4" ht="12.75" outlineLevel="1">
      <c r="B103" s="17">
        <v>1</v>
      </c>
      <c r="C103" s="17">
        <v>2</v>
      </c>
      <c r="D103" s="17">
        <v>3</v>
      </c>
    </row>
    <row r="104" spans="2:4" ht="12.75" outlineLevel="1">
      <c r="B104" s="25"/>
      <c r="C104" s="44"/>
      <c r="D104" s="109"/>
    </row>
    <row r="105" spans="2:4" ht="12.75" hidden="1" outlineLevel="1">
      <c r="B105" s="25"/>
      <c r="C105" s="44"/>
      <c r="D105" s="109"/>
    </row>
    <row r="106" spans="2:4" ht="12.75" hidden="1" outlineLevel="1">
      <c r="B106" s="25"/>
      <c r="C106" s="44"/>
      <c r="D106" s="109"/>
    </row>
    <row r="107" spans="2:4" ht="12.75" outlineLevel="1">
      <c r="B107" s="25"/>
      <c r="C107" s="44"/>
      <c r="D107" s="56"/>
    </row>
    <row r="108" spans="2:9" ht="12.75" customHeight="1" outlineLevel="1">
      <c r="B108" s="25"/>
      <c r="C108" s="53" t="s">
        <v>2</v>
      </c>
      <c r="D108" s="55">
        <f>SUM(D104:D107)</f>
        <v>0</v>
      </c>
      <c r="H108" s="12">
        <v>15343</v>
      </c>
      <c r="I108" s="85">
        <f>H108-D108</f>
        <v>15343</v>
      </c>
    </row>
    <row r="109" spans="2:4" ht="12.75">
      <c r="B109" s="26"/>
      <c r="C109" s="27"/>
      <c r="D109" s="13"/>
    </row>
    <row r="110" spans="2:7" ht="12.75" customHeight="1">
      <c r="B110" s="340" t="s">
        <v>230</v>
      </c>
      <c r="C110" s="340"/>
      <c r="D110" s="340"/>
      <c r="E110" s="340"/>
      <c r="F110" s="340"/>
      <c r="G110" s="340"/>
    </row>
    <row r="111" spans="2:4" ht="12.75">
      <c r="B111" s="24"/>
      <c r="C111" s="24"/>
      <c r="D111" s="24"/>
    </row>
    <row r="112" spans="2:4" ht="40.5" customHeight="1">
      <c r="B112" s="22" t="s">
        <v>60</v>
      </c>
      <c r="C112" s="23" t="s">
        <v>61</v>
      </c>
      <c r="D112" s="23" t="s">
        <v>62</v>
      </c>
    </row>
    <row r="113" spans="2:6" ht="12.75">
      <c r="B113" s="17">
        <v>1</v>
      </c>
      <c r="C113" s="17">
        <v>2</v>
      </c>
      <c r="D113" s="17">
        <v>4</v>
      </c>
      <c r="E113" s="343"/>
      <c r="F113" s="334"/>
    </row>
    <row r="114" spans="2:9" ht="12.75" customHeight="1">
      <c r="B114" s="113">
        <v>1</v>
      </c>
      <c r="C114" s="114" t="s">
        <v>155</v>
      </c>
      <c r="D114" s="115">
        <f>D115+D120</f>
        <v>1831850</v>
      </c>
      <c r="H114" s="85">
        <v>1910050</v>
      </c>
      <c r="I114" s="85">
        <f>H114-D114</f>
        <v>78200</v>
      </c>
    </row>
    <row r="115" spans="2:8" ht="12.75" customHeight="1">
      <c r="B115" s="113"/>
      <c r="C115" s="48" t="s">
        <v>156</v>
      </c>
      <c r="D115" s="116">
        <v>1831850</v>
      </c>
      <c r="H115" s="85"/>
    </row>
    <row r="116" spans="2:4" ht="12.75" customHeight="1" hidden="1">
      <c r="B116" s="25"/>
      <c r="C116" s="44" t="s">
        <v>157</v>
      </c>
      <c r="D116" s="45">
        <f>342772+123950</f>
        <v>466722</v>
      </c>
    </row>
    <row r="117" spans="2:4" ht="12.75" customHeight="1" hidden="1">
      <c r="B117" s="25"/>
      <c r="C117" s="44" t="s">
        <v>158</v>
      </c>
      <c r="D117" s="45">
        <f>27705+10050</f>
        <v>37755</v>
      </c>
    </row>
    <row r="118" spans="2:4" ht="12.75" customHeight="1" hidden="1">
      <c r="B118" s="25"/>
      <c r="C118" s="44" t="s">
        <v>159</v>
      </c>
      <c r="D118" s="45">
        <f>928800+273750-40</f>
        <v>1202510</v>
      </c>
    </row>
    <row r="119" spans="2:4" ht="12.75" customHeight="1" hidden="1">
      <c r="B119" s="25"/>
      <c r="C119" s="44" t="s">
        <v>160</v>
      </c>
      <c r="D119" s="45">
        <f>108263+26250</f>
        <v>134513</v>
      </c>
    </row>
    <row r="120" spans="2:4" ht="12.75" customHeight="1" outlineLevel="1">
      <c r="B120" s="25"/>
      <c r="C120" s="48" t="s">
        <v>231</v>
      </c>
      <c r="D120" s="116">
        <v>0</v>
      </c>
    </row>
    <row r="121" spans="2:4" ht="12" customHeight="1" outlineLevel="1">
      <c r="B121" s="25"/>
      <c r="C121" s="44"/>
      <c r="D121" s="56"/>
    </row>
    <row r="122" spans="2:4" ht="12" customHeight="1" outlineLevel="1">
      <c r="B122" s="25"/>
      <c r="C122" s="44"/>
      <c r="D122" s="56"/>
    </row>
    <row r="123" spans="2:10" ht="12.75" customHeight="1">
      <c r="B123" s="25"/>
      <c r="C123" s="53" t="s">
        <v>2</v>
      </c>
      <c r="D123" s="55">
        <f>D114</f>
        <v>1831850</v>
      </c>
      <c r="I123" s="85"/>
      <c r="J123" s="85"/>
    </row>
    <row r="124" spans="2:4" ht="12.75">
      <c r="B124" s="26"/>
      <c r="C124" s="27"/>
      <c r="D124" s="13"/>
    </row>
    <row r="125" spans="2:7" ht="27.75" customHeight="1">
      <c r="B125" s="340" t="s">
        <v>233</v>
      </c>
      <c r="C125" s="340"/>
      <c r="D125" s="340"/>
      <c r="E125" s="340"/>
      <c r="F125" s="340"/>
      <c r="G125" s="340"/>
    </row>
    <row r="126" spans="2:4" ht="12.75">
      <c r="B126" s="24"/>
      <c r="C126" s="24"/>
      <c r="D126" s="24"/>
    </row>
    <row r="127" spans="2:4" ht="40.5" customHeight="1">
      <c r="B127" s="22" t="s">
        <v>60</v>
      </c>
      <c r="C127" s="23" t="s">
        <v>61</v>
      </c>
      <c r="D127" s="23" t="s">
        <v>62</v>
      </c>
    </row>
    <row r="128" spans="2:6" ht="12.75">
      <c r="B128" s="17">
        <v>1</v>
      </c>
      <c r="C128" s="17">
        <v>2</v>
      </c>
      <c r="D128" s="17">
        <v>4</v>
      </c>
      <c r="E128" s="343"/>
      <c r="F128" s="334"/>
    </row>
    <row r="129" spans="2:9" ht="24.75" customHeight="1">
      <c r="B129" s="113">
        <v>1</v>
      </c>
      <c r="C129" s="44" t="s">
        <v>232</v>
      </c>
      <c r="D129" s="45">
        <v>36880</v>
      </c>
      <c r="F129" s="344"/>
      <c r="G129" s="344"/>
      <c r="H129" s="12">
        <v>990610</v>
      </c>
      <c r="I129" s="85">
        <f>H129-D129</f>
        <v>953730</v>
      </c>
    </row>
    <row r="130" spans="2:4" ht="12.75">
      <c r="B130" s="25"/>
      <c r="C130" s="44"/>
      <c r="D130" s="56"/>
    </row>
    <row r="131" spans="2:4" ht="12.75" customHeight="1">
      <c r="B131" s="25"/>
      <c r="C131" s="53" t="s">
        <v>2</v>
      </c>
      <c r="D131" s="55">
        <f>D129</f>
        <v>36880</v>
      </c>
    </row>
    <row r="132" spans="2:4" ht="12.75">
      <c r="B132" s="26"/>
      <c r="C132" s="27"/>
      <c r="D132" s="13"/>
    </row>
    <row r="133" spans="2:6" ht="40.5" customHeight="1">
      <c r="B133" s="340" t="s">
        <v>234</v>
      </c>
      <c r="C133" s="340"/>
      <c r="D133" s="340"/>
      <c r="E133" s="340"/>
      <c r="F133" s="340"/>
    </row>
    <row r="134" spans="2:4" ht="12.75">
      <c r="B134" s="24"/>
      <c r="C134" s="24"/>
      <c r="D134" s="24"/>
    </row>
    <row r="135" spans="2:7" ht="47.25" customHeight="1">
      <c r="B135" s="22" t="s">
        <v>60</v>
      </c>
      <c r="C135" s="23" t="s">
        <v>61</v>
      </c>
      <c r="D135" s="23" t="s">
        <v>115</v>
      </c>
      <c r="E135" s="68" t="s">
        <v>112</v>
      </c>
      <c r="F135" s="23" t="s">
        <v>80</v>
      </c>
      <c r="G135" s="23" t="s">
        <v>116</v>
      </c>
    </row>
    <row r="136" spans="2:7" s="66" customFormat="1" ht="12">
      <c r="B136" s="63">
        <v>1</v>
      </c>
      <c r="C136" s="63">
        <v>2</v>
      </c>
      <c r="D136" s="63">
        <v>3</v>
      </c>
      <c r="E136" s="65"/>
      <c r="F136" s="65">
        <v>4</v>
      </c>
      <c r="G136" s="65">
        <v>5</v>
      </c>
    </row>
    <row r="137" spans="2:7" ht="12.75" customHeight="1" outlineLevel="1">
      <c r="B137" s="17">
        <v>1</v>
      </c>
      <c r="C137" s="12" t="s">
        <v>225</v>
      </c>
      <c r="D137" s="40">
        <v>2400</v>
      </c>
      <c r="E137" s="34"/>
      <c r="F137" s="49"/>
      <c r="G137" s="49">
        <v>2400</v>
      </c>
    </row>
    <row r="138" spans="2:7" ht="12.75" customHeight="1">
      <c r="B138" s="17"/>
      <c r="C138" s="44"/>
      <c r="D138" s="40"/>
      <c r="E138" s="49"/>
      <c r="F138" s="49"/>
      <c r="G138" s="65"/>
    </row>
    <row r="139" spans="2:9" s="105" customFormat="1" ht="12.75" customHeight="1">
      <c r="B139" s="103"/>
      <c r="C139" s="53" t="s">
        <v>82</v>
      </c>
      <c r="D139" s="38"/>
      <c r="E139" s="78"/>
      <c r="F139" s="78"/>
      <c r="G139" s="50">
        <f>SUM(G137:G138)</f>
        <v>2400</v>
      </c>
      <c r="H139" s="105">
        <v>40231</v>
      </c>
      <c r="I139" s="105">
        <f>H139-G139</f>
        <v>37831</v>
      </c>
    </row>
    <row r="140" spans="2:4" ht="12.75">
      <c r="B140" s="26"/>
      <c r="C140" s="27"/>
      <c r="D140" s="13"/>
    </row>
    <row r="141" spans="2:4" ht="12.75">
      <c r="B141" s="26"/>
      <c r="C141" s="27"/>
      <c r="D141" s="13"/>
    </row>
    <row r="142" spans="2:4" ht="12.75">
      <c r="B142" s="345" t="s">
        <v>235</v>
      </c>
      <c r="C142" s="345"/>
      <c r="D142" s="87">
        <f>D14+G27+D33+G49+G59+G69+G80+F89+F97+D108+D123+D131+G139</f>
        <v>4026280</v>
      </c>
    </row>
    <row r="143" spans="2:4" ht="12.75">
      <c r="B143" s="26"/>
      <c r="C143" s="27"/>
      <c r="D143" s="13"/>
    </row>
    <row r="144" spans="2:4" ht="12.75">
      <c r="B144" s="12" t="s">
        <v>85</v>
      </c>
      <c r="D144" s="12" t="s">
        <v>1</v>
      </c>
    </row>
    <row r="146" spans="2:4" ht="12.75">
      <c r="B146" s="12" t="s">
        <v>86</v>
      </c>
      <c r="D146" s="12" t="s">
        <v>56</v>
      </c>
    </row>
    <row r="149" ht="12.75">
      <c r="I149" s="85">
        <f>D142+кредиторка!D23</f>
        <v>4048380</v>
      </c>
    </row>
    <row r="150" ht="12.75">
      <c r="I150" s="85">
        <f>4765230-I149</f>
        <v>716850</v>
      </c>
    </row>
  </sheetData>
  <sheetProtection/>
  <mergeCells count="35">
    <mergeCell ref="B142:C142"/>
    <mergeCell ref="D36:E36"/>
    <mergeCell ref="D37:E37"/>
    <mergeCell ref="B100:F100"/>
    <mergeCell ref="B133:F133"/>
    <mergeCell ref="B82:F82"/>
    <mergeCell ref="E128:F128"/>
    <mergeCell ref="F129:G129"/>
    <mergeCell ref="B110:G110"/>
    <mergeCell ref="E113:F113"/>
    <mergeCell ref="B91:F91"/>
    <mergeCell ref="B125:G125"/>
    <mergeCell ref="B7:D7"/>
    <mergeCell ref="D17:E17"/>
    <mergeCell ref="D18:E18"/>
    <mergeCell ref="B71:F71"/>
    <mergeCell ref="D33:E33"/>
    <mergeCell ref="B21:D21"/>
    <mergeCell ref="D31:E31"/>
    <mergeCell ref="D32:E32"/>
    <mergeCell ref="B61:G61"/>
    <mergeCell ref="B29:G29"/>
    <mergeCell ref="B40:F40"/>
    <mergeCell ref="B51:G51"/>
    <mergeCell ref="D35:E35"/>
    <mergeCell ref="D2:G2"/>
    <mergeCell ref="D1:G1"/>
    <mergeCell ref="B8:D8"/>
    <mergeCell ref="D34:E34"/>
    <mergeCell ref="D14:E14"/>
    <mergeCell ref="D15:E15"/>
    <mergeCell ref="D16:E16"/>
    <mergeCell ref="D13:E13"/>
    <mergeCell ref="D12:E12"/>
    <mergeCell ref="B10:D10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10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K129"/>
  <sheetViews>
    <sheetView showGridLines="0" zoomScalePageLayoutView="0" workbookViewId="0" topLeftCell="A65">
      <selection activeCell="B101" sqref="B101:G101"/>
    </sheetView>
  </sheetViews>
  <sheetFormatPr defaultColWidth="9.140625" defaultRowHeight="12.75" outlineLevelRow="1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1.140625" style="12" customWidth="1"/>
    <col min="8" max="8" width="10.8515625" style="12" bestFit="1" customWidth="1"/>
    <col min="9" max="9" width="11.851562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7" customHeight="1">
      <c r="E3" s="12" t="s">
        <v>237</v>
      </c>
    </row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197</v>
      </c>
      <c r="C8" s="334"/>
      <c r="D8" s="334"/>
    </row>
    <row r="9" ht="6.75" customHeight="1"/>
    <row r="10" spans="2:4" ht="12.75">
      <c r="B10" s="341" t="s">
        <v>59</v>
      </c>
      <c r="C10" s="341"/>
      <c r="D10" s="341"/>
    </row>
    <row r="11" ht="13.5" customHeight="1"/>
    <row r="12" spans="2:5" ht="23.25" customHeight="1">
      <c r="B12" s="22" t="s">
        <v>60</v>
      </c>
      <c r="C12" s="23" t="s">
        <v>61</v>
      </c>
      <c r="D12" s="339" t="s">
        <v>62</v>
      </c>
      <c r="E12" s="339"/>
    </row>
    <row r="13" spans="2:5" ht="12.75">
      <c r="B13" s="25">
        <v>1</v>
      </c>
      <c r="C13" s="17">
        <v>2</v>
      </c>
      <c r="D13" s="338">
        <v>3</v>
      </c>
      <c r="E13" s="338"/>
    </row>
    <row r="14" spans="2:10" ht="12.75" customHeight="1">
      <c r="B14" s="25">
        <v>1</v>
      </c>
      <c r="C14" s="17" t="s">
        <v>33</v>
      </c>
      <c r="D14" s="347">
        <v>1096900</v>
      </c>
      <c r="E14" s="347"/>
      <c r="J14" s="12">
        <f>D16-D17-D18</f>
        <v>0</v>
      </c>
    </row>
    <row r="15" spans="2:10" ht="12.75" customHeight="1">
      <c r="B15" s="25"/>
      <c r="C15" s="44" t="s">
        <v>63</v>
      </c>
      <c r="D15" s="338"/>
      <c r="E15" s="338"/>
      <c r="J15" s="12">
        <v>74660.5546075085</v>
      </c>
    </row>
    <row r="16" spans="2:10" ht="12.75" customHeight="1">
      <c r="B16" s="25"/>
      <c r="C16" s="44" t="s">
        <v>64</v>
      </c>
      <c r="D16" s="338">
        <f>D17+D18</f>
        <v>1096841.31</v>
      </c>
      <c r="E16" s="338"/>
      <c r="H16" s="12">
        <f>D14-D16</f>
        <v>58.68999999994412</v>
      </c>
      <c r="J16" s="12">
        <v>85181.73</v>
      </c>
    </row>
    <row r="17" spans="2:10" ht="12.75" customHeight="1">
      <c r="B17" s="25"/>
      <c r="C17" s="59" t="s">
        <v>238</v>
      </c>
      <c r="D17" s="346">
        <f>85181.73*12</f>
        <v>1022180.76</v>
      </c>
      <c r="E17" s="346"/>
      <c r="J17" s="12">
        <v>1096900</v>
      </c>
    </row>
    <row r="18" spans="2:5" ht="12.75" customHeight="1">
      <c r="B18" s="25"/>
      <c r="C18" s="59" t="s">
        <v>105</v>
      </c>
      <c r="D18" s="346">
        <v>74660.55</v>
      </c>
      <c r="E18" s="346"/>
    </row>
    <row r="21" spans="2:4" ht="12.75" hidden="1" outlineLevel="1">
      <c r="B21" s="341" t="s">
        <v>65</v>
      </c>
      <c r="C21" s="341"/>
      <c r="D21" s="341"/>
    </row>
    <row r="22" ht="12.75" hidden="1" outlineLevel="1"/>
    <row r="23" spans="2:7" ht="57" customHeight="1" hidden="1" outlineLevel="1">
      <c r="B23" s="22" t="s">
        <v>60</v>
      </c>
      <c r="C23" s="52" t="s">
        <v>61</v>
      </c>
      <c r="D23" s="22" t="s">
        <v>66</v>
      </c>
      <c r="E23" s="22" t="s">
        <v>67</v>
      </c>
      <c r="F23" s="22" t="s">
        <v>68</v>
      </c>
      <c r="G23" s="23" t="s">
        <v>110</v>
      </c>
    </row>
    <row r="24" spans="2:7" ht="12.75" hidden="1" outlineLevel="1">
      <c r="B24" s="17">
        <v>1</v>
      </c>
      <c r="C24" s="47">
        <v>2</v>
      </c>
      <c r="D24" s="17">
        <v>3</v>
      </c>
      <c r="E24" s="49">
        <v>4</v>
      </c>
      <c r="F24" s="23">
        <v>5</v>
      </c>
      <c r="G24" s="49">
        <v>6</v>
      </c>
    </row>
    <row r="25" spans="2:7" ht="13.5" customHeight="1" hidden="1" outlineLevel="1">
      <c r="B25" s="25">
        <v>1</v>
      </c>
      <c r="C25" s="44" t="s">
        <v>140</v>
      </c>
      <c r="D25" s="17"/>
      <c r="E25" s="34"/>
      <c r="F25" s="22"/>
      <c r="G25" s="34">
        <f>G26</f>
        <v>0</v>
      </c>
    </row>
    <row r="26" spans="2:7" ht="11.25" customHeight="1" hidden="1" outlineLevel="1">
      <c r="B26" s="25"/>
      <c r="C26" s="44" t="s">
        <v>141</v>
      </c>
      <c r="D26" s="17">
        <v>3</v>
      </c>
      <c r="E26" s="49">
        <v>5</v>
      </c>
      <c r="F26" s="17">
        <v>150</v>
      </c>
      <c r="G26" s="34"/>
    </row>
    <row r="27" spans="2:7" s="105" customFormat="1" ht="12.75" customHeight="1" hidden="1" outlineLevel="1">
      <c r="B27" s="103"/>
      <c r="C27" s="53" t="s">
        <v>2</v>
      </c>
      <c r="D27" s="38"/>
      <c r="E27" s="78"/>
      <c r="F27" s="104"/>
      <c r="G27" s="78">
        <f>G25</f>
        <v>0</v>
      </c>
    </row>
    <row r="28" spans="2:4" ht="12.75" collapsed="1">
      <c r="B28" s="24"/>
      <c r="C28" s="24"/>
      <c r="D28" s="24"/>
    </row>
    <row r="29" spans="2:7" ht="12.75" customHeight="1">
      <c r="B29" s="340" t="s">
        <v>114</v>
      </c>
      <c r="C29" s="340"/>
      <c r="D29" s="340"/>
      <c r="E29" s="340"/>
      <c r="F29" s="340"/>
      <c r="G29" s="340"/>
    </row>
    <row r="30" spans="2:4" ht="25.5" customHeight="1">
      <c r="B30" s="24"/>
      <c r="C30" s="24"/>
      <c r="D30" s="24"/>
    </row>
    <row r="31" spans="2:5" ht="21.75" customHeight="1">
      <c r="B31" s="22" t="s">
        <v>60</v>
      </c>
      <c r="C31" s="23" t="s">
        <v>61</v>
      </c>
      <c r="D31" s="339" t="s">
        <v>62</v>
      </c>
      <c r="E31" s="339"/>
    </row>
    <row r="32" spans="2:5" ht="12.75">
      <c r="B32" s="23">
        <v>1</v>
      </c>
      <c r="C32" s="23">
        <v>2</v>
      </c>
      <c r="D32" s="339">
        <v>3</v>
      </c>
      <c r="E32" s="339"/>
    </row>
    <row r="33" spans="2:6" ht="18" customHeight="1">
      <c r="B33" s="25">
        <v>1</v>
      </c>
      <c r="C33" s="44" t="s">
        <v>70</v>
      </c>
      <c r="D33" s="336">
        <f>D34+D35</f>
        <v>331200</v>
      </c>
      <c r="E33" s="336"/>
      <c r="F33" s="33"/>
    </row>
    <row r="34" spans="2:6" ht="12.75" customHeight="1">
      <c r="B34" s="25"/>
      <c r="C34" s="48" t="s">
        <v>71</v>
      </c>
      <c r="D34" s="335"/>
      <c r="E34" s="335"/>
      <c r="F34" s="33"/>
    </row>
    <row r="35" spans="2:6" ht="12.75" customHeight="1">
      <c r="B35" s="25"/>
      <c r="C35" s="48" t="s">
        <v>74</v>
      </c>
      <c r="D35" s="337">
        <v>331200</v>
      </c>
      <c r="E35" s="337"/>
      <c r="F35" s="33"/>
    </row>
    <row r="36" spans="2:6" ht="12.75" customHeight="1" hidden="1">
      <c r="B36" s="25"/>
      <c r="C36" s="44" t="s">
        <v>72</v>
      </c>
      <c r="D36" s="338">
        <v>24905</v>
      </c>
      <c r="E36" s="338"/>
      <c r="F36" s="33"/>
    </row>
    <row r="37" spans="2:5" ht="12.75" customHeight="1" hidden="1">
      <c r="B37" s="25"/>
      <c r="C37" s="44" t="s">
        <v>73</v>
      </c>
      <c r="D37" s="338">
        <v>217722</v>
      </c>
      <c r="E37" s="338"/>
    </row>
    <row r="38" spans="2:4" ht="12.75">
      <c r="B38" s="26"/>
      <c r="C38" s="27"/>
      <c r="D38" s="13"/>
    </row>
    <row r="39" spans="2:4" ht="12.75">
      <c r="B39" s="26"/>
      <c r="C39" s="27"/>
      <c r="D39" s="13"/>
    </row>
    <row r="40" spans="2:6" ht="12.75">
      <c r="B40" s="341" t="s">
        <v>75</v>
      </c>
      <c r="C40" s="341"/>
      <c r="D40" s="341"/>
      <c r="E40" s="341"/>
      <c r="F40" s="341"/>
    </row>
    <row r="42" spans="2:7" ht="49.5" customHeight="1">
      <c r="B42" s="22" t="s">
        <v>60</v>
      </c>
      <c r="C42" s="52" t="s">
        <v>61</v>
      </c>
      <c r="D42" s="23" t="s">
        <v>108</v>
      </c>
      <c r="E42" s="34" t="s">
        <v>112</v>
      </c>
      <c r="F42" s="23" t="s">
        <v>109</v>
      </c>
      <c r="G42" s="22" t="s">
        <v>111</v>
      </c>
    </row>
    <row r="43" spans="2:7" ht="13.5" customHeight="1">
      <c r="B43" s="17">
        <v>1</v>
      </c>
      <c r="C43" s="47">
        <v>2</v>
      </c>
      <c r="D43" s="17">
        <v>3</v>
      </c>
      <c r="E43" s="34"/>
      <c r="F43" s="49">
        <v>4</v>
      </c>
      <c r="G43" s="49">
        <v>5</v>
      </c>
    </row>
    <row r="44" spans="2:8" ht="45" customHeight="1">
      <c r="B44" s="110">
        <v>1</v>
      </c>
      <c r="C44" s="111" t="s">
        <v>76</v>
      </c>
      <c r="D44" s="112"/>
      <c r="E44" s="34"/>
      <c r="F44" s="112"/>
      <c r="G44" s="112"/>
      <c r="H44" s="12">
        <f>G44-G45-G46</f>
        <v>0</v>
      </c>
    </row>
    <row r="45" spans="2:8" ht="12.75" customHeight="1">
      <c r="B45" s="34"/>
      <c r="C45" s="54" t="s">
        <v>106</v>
      </c>
      <c r="D45" s="49">
        <v>261.4</v>
      </c>
      <c r="E45" s="49">
        <v>104.7</v>
      </c>
      <c r="F45" s="49">
        <v>12</v>
      </c>
      <c r="G45" s="49"/>
      <c r="H45" s="12">
        <f>D45*F45*E45/100</f>
        <v>3284.2295999999997</v>
      </c>
    </row>
    <row r="46" spans="2:11" ht="12.75" customHeight="1">
      <c r="B46" s="34"/>
      <c r="C46" s="54" t="s">
        <v>107</v>
      </c>
      <c r="D46" s="49">
        <v>0.56</v>
      </c>
      <c r="E46" s="49">
        <v>104.7</v>
      </c>
      <c r="F46" s="49">
        <v>11292</v>
      </c>
      <c r="G46" s="49"/>
      <c r="H46" s="12">
        <f>D46*F46*E46/100</f>
        <v>6620.725440000001</v>
      </c>
      <c r="J46" s="12">
        <f>G44-G45</f>
        <v>0</v>
      </c>
      <c r="K46" s="12">
        <f>J46/(D46*E46/100)</f>
        <v>0</v>
      </c>
    </row>
    <row r="47" spans="2:8" ht="23.25" customHeight="1">
      <c r="B47" s="110">
        <v>2</v>
      </c>
      <c r="C47" s="111" t="s">
        <v>77</v>
      </c>
      <c r="D47" s="112">
        <v>796</v>
      </c>
      <c r="E47" s="112">
        <v>104.7</v>
      </c>
      <c r="F47" s="112">
        <v>12</v>
      </c>
      <c r="G47" s="112"/>
      <c r="H47" s="12">
        <f>D47*F47*E47/100</f>
        <v>10000.944</v>
      </c>
    </row>
    <row r="48" spans="2:7" ht="12.75">
      <c r="B48" s="34">
        <v>3</v>
      </c>
      <c r="C48" s="54"/>
      <c r="D48" s="49"/>
      <c r="E48" s="49"/>
      <c r="F48" s="49"/>
      <c r="G48" s="49"/>
    </row>
    <row r="49" spans="2:7" ht="12.75">
      <c r="B49" s="35"/>
      <c r="C49" s="60" t="s">
        <v>2</v>
      </c>
      <c r="D49" s="50"/>
      <c r="E49" s="34"/>
      <c r="F49" s="49"/>
      <c r="G49" s="50">
        <f>G44+G47</f>
        <v>0</v>
      </c>
    </row>
    <row r="51" spans="2:7" ht="12.75">
      <c r="B51" s="341" t="s">
        <v>78</v>
      </c>
      <c r="C51" s="341"/>
      <c r="D51" s="341"/>
      <c r="E51" s="341"/>
      <c r="F51" s="341"/>
      <c r="G51" s="341"/>
    </row>
    <row r="52" ht="12.75" customHeight="1"/>
    <row r="53" spans="2:7" ht="47.25" customHeight="1">
      <c r="B53" s="22" t="s">
        <v>60</v>
      </c>
      <c r="C53" s="52" t="s">
        <v>61</v>
      </c>
      <c r="D53" s="23" t="s">
        <v>79</v>
      </c>
      <c r="E53" s="68" t="s">
        <v>112</v>
      </c>
      <c r="F53" s="23" t="s">
        <v>80</v>
      </c>
      <c r="G53" s="23" t="s">
        <v>113</v>
      </c>
    </row>
    <row r="54" spans="2:7" s="66" customFormat="1" ht="17.25" customHeight="1">
      <c r="B54" s="63">
        <v>1</v>
      </c>
      <c r="C54" s="62">
        <v>2</v>
      </c>
      <c r="D54" s="63">
        <v>3</v>
      </c>
      <c r="E54" s="65">
        <v>4</v>
      </c>
      <c r="F54" s="65">
        <v>5</v>
      </c>
      <c r="G54" s="65">
        <v>6</v>
      </c>
    </row>
    <row r="55" spans="2:10" ht="66.75" customHeight="1">
      <c r="B55" s="25">
        <v>1</v>
      </c>
      <c r="C55" s="67" t="s">
        <v>95</v>
      </c>
      <c r="D55" s="69">
        <v>8.9543</v>
      </c>
      <c r="E55" s="70">
        <v>1</v>
      </c>
      <c r="F55" s="69">
        <v>38230</v>
      </c>
      <c r="G55" s="120">
        <v>342350</v>
      </c>
      <c r="H55" s="12">
        <f>D55*E55*F55/100</f>
        <v>3423.2288900000003</v>
      </c>
      <c r="J55" s="12">
        <f>381080-G55</f>
        <v>38730</v>
      </c>
    </row>
    <row r="56" spans="2:10" ht="27.75" customHeight="1">
      <c r="B56" s="25">
        <v>2</v>
      </c>
      <c r="C56" s="86" t="s">
        <v>125</v>
      </c>
      <c r="D56" s="70">
        <v>2026.87</v>
      </c>
      <c r="E56" s="193">
        <v>1</v>
      </c>
      <c r="F56" s="65">
        <v>257.2</v>
      </c>
      <c r="G56" s="65">
        <v>521350</v>
      </c>
      <c r="H56" s="12">
        <f>D56*E56*F56/100</f>
        <v>5213.109639999999</v>
      </c>
      <c r="J56" s="12">
        <f>505770-G56</f>
        <v>-15580</v>
      </c>
    </row>
    <row r="57" spans="2:10" ht="27.75" customHeight="1">
      <c r="B57" s="58">
        <v>3</v>
      </c>
      <c r="C57" s="46" t="s">
        <v>87</v>
      </c>
      <c r="D57" s="71">
        <v>45.849</v>
      </c>
      <c r="E57" s="65">
        <v>103.7</v>
      </c>
      <c r="F57" s="65">
        <v>110</v>
      </c>
      <c r="G57" s="65"/>
      <c r="H57" s="12">
        <f>D57*E57*F57/100</f>
        <v>5229.99543</v>
      </c>
      <c r="J57" s="12">
        <f>5230-G57</f>
        <v>5230</v>
      </c>
    </row>
    <row r="58" spans="2:8" ht="12.75" customHeight="1">
      <c r="B58" s="58">
        <v>4</v>
      </c>
      <c r="C58" s="61" t="s">
        <v>48</v>
      </c>
      <c r="D58" s="71">
        <v>100</v>
      </c>
      <c r="E58" s="65">
        <v>1</v>
      </c>
      <c r="F58" s="65">
        <f>G58/D58</f>
        <v>0</v>
      </c>
      <c r="G58" s="65"/>
      <c r="H58" s="12">
        <f>D58*E58*F58</f>
        <v>0</v>
      </c>
    </row>
    <row r="59" spans="2:7" ht="12.75">
      <c r="B59" s="25"/>
      <c r="C59" s="60" t="s">
        <v>2</v>
      </c>
      <c r="D59" s="72"/>
      <c r="E59" s="65"/>
      <c r="F59" s="65"/>
      <c r="G59" s="106">
        <f>G55+G56+G57+G58</f>
        <v>863700</v>
      </c>
    </row>
    <row r="61" spans="2:7" ht="12.75" customHeight="1">
      <c r="B61" s="340" t="s">
        <v>81</v>
      </c>
      <c r="C61" s="340"/>
      <c r="D61" s="340"/>
      <c r="E61" s="340"/>
      <c r="F61" s="340"/>
      <c r="G61" s="340"/>
    </row>
    <row r="62" spans="2:4" ht="12.75">
      <c r="B62" s="24"/>
      <c r="C62" s="24"/>
      <c r="D62" s="24"/>
    </row>
    <row r="63" spans="2:7" ht="62.25" customHeight="1">
      <c r="B63" s="22" t="s">
        <v>60</v>
      </c>
      <c r="C63" s="23" t="s">
        <v>61</v>
      </c>
      <c r="D63" s="23" t="s">
        <v>115</v>
      </c>
      <c r="E63" s="68" t="s">
        <v>112</v>
      </c>
      <c r="F63" s="23" t="s">
        <v>80</v>
      </c>
      <c r="G63" s="23" t="s">
        <v>116</v>
      </c>
    </row>
    <row r="64" spans="2:7" s="76" customFormat="1" ht="12.75" customHeight="1">
      <c r="B64" s="63">
        <v>1</v>
      </c>
      <c r="C64" s="63">
        <v>2</v>
      </c>
      <c r="D64" s="63">
        <v>3</v>
      </c>
      <c r="E64" s="68"/>
      <c r="F64" s="65">
        <v>4</v>
      </c>
      <c r="G64" s="65">
        <v>5</v>
      </c>
    </row>
    <row r="65" spans="2:10" ht="12.75" customHeight="1">
      <c r="B65" s="25">
        <v>1</v>
      </c>
      <c r="C65" s="84" t="s">
        <v>126</v>
      </c>
      <c r="D65" s="75">
        <v>3655</v>
      </c>
      <c r="E65" s="68">
        <v>104.7</v>
      </c>
      <c r="F65" s="49">
        <v>12</v>
      </c>
      <c r="G65" s="65"/>
      <c r="I65" s="12">
        <f>D65*F65*E65/100</f>
        <v>45921.42</v>
      </c>
      <c r="J65" s="12">
        <f>48060/12/1.047</f>
        <v>3825.2148997134673</v>
      </c>
    </row>
    <row r="66" spans="2:9" ht="12.75" customHeight="1" outlineLevel="1">
      <c r="B66" s="25">
        <v>2</v>
      </c>
      <c r="C66" s="74" t="s">
        <v>142</v>
      </c>
      <c r="D66" s="75">
        <v>3220</v>
      </c>
      <c r="E66" s="68">
        <v>104.7</v>
      </c>
      <c r="F66" s="49">
        <v>3</v>
      </c>
      <c r="G66" s="65"/>
      <c r="I66" s="12">
        <f>D66*F66*E66/100</f>
        <v>10114.02</v>
      </c>
    </row>
    <row r="67" spans="2:9" ht="12.75" customHeight="1">
      <c r="B67" s="25"/>
      <c r="C67" s="51" t="s">
        <v>82</v>
      </c>
      <c r="D67" s="38"/>
      <c r="E67" s="68"/>
      <c r="F67" s="34"/>
      <c r="G67" s="73">
        <f>SUM(G65:G66)</f>
        <v>0</v>
      </c>
      <c r="H67" s="12">
        <v>87600</v>
      </c>
      <c r="I67" s="12">
        <f>H67-G67</f>
        <v>87600</v>
      </c>
    </row>
    <row r="68" ht="12" customHeight="1"/>
    <row r="69" spans="2:6" ht="12.75" customHeight="1">
      <c r="B69" s="340" t="s">
        <v>118</v>
      </c>
      <c r="C69" s="340"/>
      <c r="D69" s="340"/>
      <c r="E69" s="340"/>
      <c r="F69" s="340"/>
    </row>
    <row r="70" spans="2:4" ht="12.75">
      <c r="B70" s="24"/>
      <c r="C70" s="24"/>
      <c r="D70" s="24"/>
    </row>
    <row r="71" spans="2:7" ht="47.25" customHeight="1">
      <c r="B71" s="22" t="s">
        <v>60</v>
      </c>
      <c r="C71" s="23" t="s">
        <v>61</v>
      </c>
      <c r="D71" s="23" t="s">
        <v>115</v>
      </c>
      <c r="E71" s="34" t="s">
        <v>112</v>
      </c>
      <c r="F71" s="23" t="s">
        <v>80</v>
      </c>
      <c r="G71" s="23" t="s">
        <v>116</v>
      </c>
    </row>
    <row r="72" spans="2:7" s="66" customFormat="1" ht="12">
      <c r="B72" s="63">
        <v>1</v>
      </c>
      <c r="C72" s="63">
        <v>2</v>
      </c>
      <c r="D72" s="63">
        <v>3</v>
      </c>
      <c r="E72" s="65"/>
      <c r="F72" s="65">
        <v>4</v>
      </c>
      <c r="G72" s="65">
        <v>5</v>
      </c>
    </row>
    <row r="73" spans="2:7" ht="12.75" customHeight="1" hidden="1" outlineLevel="1">
      <c r="B73" s="25">
        <v>1</v>
      </c>
      <c r="C73" s="44" t="s">
        <v>123</v>
      </c>
      <c r="D73" s="40"/>
      <c r="E73" s="49"/>
      <c r="F73" s="49"/>
      <c r="G73" s="108">
        <v>0</v>
      </c>
    </row>
    <row r="74" spans="2:8" ht="12.75" customHeight="1" hidden="1" outlineLevel="1">
      <c r="B74" s="25">
        <v>2</v>
      </c>
      <c r="C74" s="84" t="s">
        <v>127</v>
      </c>
      <c r="D74" s="75">
        <v>3700</v>
      </c>
      <c r="E74" s="49">
        <v>104.7</v>
      </c>
      <c r="F74" s="49">
        <v>12</v>
      </c>
      <c r="G74" s="107">
        <v>0</v>
      </c>
      <c r="H74" s="12">
        <f>D74*F74*E74/100</f>
        <v>46486.8</v>
      </c>
    </row>
    <row r="75" spans="2:9" ht="12.75" customHeight="1" hidden="1" outlineLevel="1">
      <c r="B75" s="25">
        <v>3</v>
      </c>
      <c r="C75" s="44" t="s">
        <v>143</v>
      </c>
      <c r="D75" s="40"/>
      <c r="E75" s="49"/>
      <c r="F75" s="49"/>
      <c r="G75" s="108">
        <v>0</v>
      </c>
      <c r="H75" s="12">
        <v>53710</v>
      </c>
      <c r="I75" s="12">
        <f>H75-G75</f>
        <v>53710</v>
      </c>
    </row>
    <row r="76" spans="2:7" ht="12.75" collapsed="1">
      <c r="B76" s="25">
        <v>1</v>
      </c>
      <c r="C76" s="44" t="s">
        <v>169</v>
      </c>
      <c r="D76" s="40"/>
      <c r="E76" s="49"/>
      <c r="F76" s="49"/>
      <c r="G76" s="49"/>
    </row>
    <row r="77" spans="2:7" ht="12.75">
      <c r="B77" s="25">
        <v>2</v>
      </c>
      <c r="C77" s="44" t="s">
        <v>154</v>
      </c>
      <c r="D77" s="40"/>
      <c r="E77" s="49"/>
      <c r="F77" s="49"/>
      <c r="G77" s="49"/>
    </row>
    <row r="78" spans="2:9" ht="12.75" customHeight="1">
      <c r="B78" s="25"/>
      <c r="C78" s="53" t="s">
        <v>82</v>
      </c>
      <c r="D78" s="38"/>
      <c r="E78" s="49"/>
      <c r="F78" s="49"/>
      <c r="G78" s="50">
        <f>SUM(G73:G77)</f>
        <v>0</v>
      </c>
      <c r="H78" s="12">
        <v>138555</v>
      </c>
      <c r="I78" s="12">
        <f>H78-G78</f>
        <v>138555</v>
      </c>
    </row>
    <row r="80" spans="2:4" ht="12.75">
      <c r="B80" s="340" t="s">
        <v>83</v>
      </c>
      <c r="C80" s="340"/>
      <c r="D80" s="340"/>
    </row>
    <row r="81" spans="2:4" ht="12.75" customHeight="1">
      <c r="B81" s="24"/>
      <c r="C81" s="24"/>
      <c r="D81" s="24"/>
    </row>
    <row r="82" spans="2:6" s="77" customFormat="1" ht="49.5" customHeight="1">
      <c r="B82" s="22" t="s">
        <v>60</v>
      </c>
      <c r="C82" s="23" t="s">
        <v>61</v>
      </c>
      <c r="D82" s="23" t="s">
        <v>120</v>
      </c>
      <c r="E82" s="23" t="s">
        <v>117</v>
      </c>
      <c r="F82" s="23" t="s">
        <v>116</v>
      </c>
    </row>
    <row r="83" spans="2:6" s="66" customFormat="1" ht="12">
      <c r="B83" s="63">
        <v>1</v>
      </c>
      <c r="C83" s="63">
        <v>2</v>
      </c>
      <c r="D83" s="63">
        <v>3</v>
      </c>
      <c r="E83" s="65">
        <v>4</v>
      </c>
      <c r="F83" s="65">
        <v>5</v>
      </c>
    </row>
    <row r="84" spans="2:8" ht="12.75" customHeight="1">
      <c r="B84" s="25">
        <v>1</v>
      </c>
      <c r="C84" s="44" t="s">
        <v>84</v>
      </c>
      <c r="D84" s="63"/>
      <c r="E84" s="65"/>
      <c r="F84" s="65"/>
      <c r="H84" s="12">
        <f>D84*E84</f>
        <v>0</v>
      </c>
    </row>
    <row r="85" spans="2:8" ht="12.75" customHeight="1">
      <c r="B85" s="25">
        <v>2</v>
      </c>
      <c r="C85" s="44" t="s">
        <v>3</v>
      </c>
      <c r="D85" s="63">
        <v>50.75</v>
      </c>
      <c r="E85" s="65">
        <v>4</v>
      </c>
      <c r="F85" s="65"/>
      <c r="H85" s="12">
        <f>D85*E85</f>
        <v>203</v>
      </c>
    </row>
    <row r="86" spans="2:8" ht="12.75" customHeight="1">
      <c r="B86" s="25">
        <v>3</v>
      </c>
      <c r="C86" s="36" t="s">
        <v>103</v>
      </c>
      <c r="D86" s="63"/>
      <c r="E86" s="65"/>
      <c r="F86" s="65"/>
      <c r="H86" s="12">
        <f>D86*E86</f>
        <v>0</v>
      </c>
    </row>
    <row r="87" spans="2:6" ht="12.75" customHeight="1">
      <c r="B87" s="25"/>
      <c r="C87" s="53" t="s">
        <v>2</v>
      </c>
      <c r="D87" s="72"/>
      <c r="E87" s="65"/>
      <c r="F87" s="73">
        <f>SUM(F84:F86)</f>
        <v>0</v>
      </c>
    </row>
    <row r="88" spans="2:4" ht="12.75">
      <c r="B88" s="26"/>
      <c r="C88" s="27"/>
      <c r="D88" s="13"/>
    </row>
    <row r="89" spans="2:6" ht="25.5" customHeight="1" hidden="1" outlineLevel="1">
      <c r="B89" s="340" t="s">
        <v>94</v>
      </c>
      <c r="C89" s="340"/>
      <c r="D89" s="340"/>
      <c r="E89" s="340"/>
      <c r="F89" s="340"/>
    </row>
    <row r="90" spans="2:4" ht="12.75" hidden="1" outlineLevel="1">
      <c r="B90" s="24"/>
      <c r="C90" s="24"/>
      <c r="D90" s="24"/>
    </row>
    <row r="91" spans="2:4" ht="36" customHeight="1" hidden="1" outlineLevel="1">
      <c r="B91" s="22" t="s">
        <v>60</v>
      </c>
      <c r="C91" s="23" t="s">
        <v>61</v>
      </c>
      <c r="D91" s="23" t="s">
        <v>62</v>
      </c>
    </row>
    <row r="92" spans="2:4" ht="12.75" hidden="1" outlineLevel="1">
      <c r="B92" s="17">
        <v>1</v>
      </c>
      <c r="C92" s="17">
        <v>2</v>
      </c>
      <c r="D92" s="17">
        <v>3</v>
      </c>
    </row>
    <row r="93" spans="2:4" ht="12.75" hidden="1" outlineLevel="1">
      <c r="B93" s="25">
        <v>1</v>
      </c>
      <c r="C93" s="44" t="s">
        <v>147</v>
      </c>
      <c r="D93" s="109"/>
    </row>
    <row r="94" spans="2:4" ht="12.75" hidden="1" outlineLevel="1">
      <c r="B94" s="25">
        <v>2</v>
      </c>
      <c r="C94" s="44" t="s">
        <v>144</v>
      </c>
      <c r="D94" s="109"/>
    </row>
    <row r="95" spans="2:4" ht="12.75" hidden="1" outlineLevel="1">
      <c r="B95" s="25">
        <v>3</v>
      </c>
      <c r="C95" s="44" t="s">
        <v>146</v>
      </c>
      <c r="D95" s="109"/>
    </row>
    <row r="96" spans="2:4" ht="12.75" hidden="1" outlineLevel="1">
      <c r="B96" s="25">
        <v>4</v>
      </c>
      <c r="C96" s="44" t="s">
        <v>150</v>
      </c>
      <c r="D96" s="109"/>
    </row>
    <row r="97" spans="2:4" ht="12.75" hidden="1" outlineLevel="1">
      <c r="B97" s="25"/>
      <c r="C97" s="44"/>
      <c r="D97" s="56"/>
    </row>
    <row r="98" spans="2:4" ht="12.75" hidden="1" outlineLevel="1">
      <c r="B98" s="25"/>
      <c r="C98" s="44"/>
      <c r="D98" s="56"/>
    </row>
    <row r="99" spans="2:9" ht="12.75" customHeight="1" hidden="1" outlineLevel="1">
      <c r="B99" s="25"/>
      <c r="C99" s="53" t="s">
        <v>2</v>
      </c>
      <c r="D99" s="55">
        <f>SUM(D93:D98)</f>
        <v>0</v>
      </c>
      <c r="H99" s="12">
        <v>202436</v>
      </c>
      <c r="I99" s="85">
        <f>H99-D99</f>
        <v>202436</v>
      </c>
    </row>
    <row r="100" spans="2:4" ht="12.75" collapsed="1">
      <c r="B100" s="26"/>
      <c r="C100" s="27"/>
      <c r="D100" s="13"/>
    </row>
    <row r="101" spans="2:7" ht="12.75" customHeight="1">
      <c r="B101" s="340" t="s">
        <v>239</v>
      </c>
      <c r="C101" s="340"/>
      <c r="D101" s="340"/>
      <c r="E101" s="340"/>
      <c r="F101" s="340"/>
      <c r="G101" s="340"/>
    </row>
    <row r="102" spans="2:4" ht="12.75">
      <c r="B102" s="24"/>
      <c r="C102" s="24"/>
      <c r="D102" s="24"/>
    </row>
    <row r="103" spans="2:4" ht="40.5" customHeight="1">
      <c r="B103" s="22" t="s">
        <v>60</v>
      </c>
      <c r="C103" s="23" t="s">
        <v>61</v>
      </c>
      <c r="D103" s="23" t="s">
        <v>62</v>
      </c>
    </row>
    <row r="104" spans="2:6" ht="12.75">
      <c r="B104" s="17">
        <v>1</v>
      </c>
      <c r="C104" s="17">
        <v>2</v>
      </c>
      <c r="D104" s="17">
        <v>4</v>
      </c>
      <c r="E104" s="343"/>
      <c r="F104" s="334"/>
    </row>
    <row r="105" spans="2:8" ht="12.75" customHeight="1">
      <c r="B105" s="113">
        <v>1</v>
      </c>
      <c r="C105" s="114" t="s">
        <v>155</v>
      </c>
      <c r="D105" s="115">
        <f>D106+D111</f>
        <v>1903430</v>
      </c>
      <c r="H105" s="85">
        <f>1926250-D105</f>
        <v>22820</v>
      </c>
    </row>
    <row r="106" spans="2:8" ht="12.75" customHeight="1">
      <c r="B106" s="113"/>
      <c r="C106" s="48" t="s">
        <v>156</v>
      </c>
      <c r="D106" s="116">
        <v>1903430</v>
      </c>
      <c r="H106" s="85"/>
    </row>
    <row r="107" spans="2:4" ht="12.75" customHeight="1" hidden="1">
      <c r="B107" s="25"/>
      <c r="C107" s="44" t="s">
        <v>157</v>
      </c>
      <c r="D107" s="45">
        <f>(342772+123950)*104.6%+8.79</f>
        <v>488200.002</v>
      </c>
    </row>
    <row r="108" spans="2:4" ht="12.75" customHeight="1" hidden="1">
      <c r="B108" s="25"/>
      <c r="C108" s="44" t="s">
        <v>158</v>
      </c>
      <c r="D108" s="45">
        <f>(27705+10050)*104.6%+8.27</f>
        <v>39500</v>
      </c>
    </row>
    <row r="109" spans="2:4" ht="12.75" customHeight="1" hidden="1">
      <c r="B109" s="25"/>
      <c r="C109" s="44" t="s">
        <v>159</v>
      </c>
      <c r="D109" s="45">
        <f>(928800+273750-40)*104.6%+4.54</f>
        <v>1257830</v>
      </c>
    </row>
    <row r="110" spans="2:4" ht="12.75" customHeight="1" hidden="1">
      <c r="B110" s="25"/>
      <c r="C110" s="44" t="s">
        <v>160</v>
      </c>
      <c r="D110" s="45">
        <f>(108263+26250)*104.6%+19.4</f>
        <v>140719.998</v>
      </c>
    </row>
    <row r="111" spans="2:4" ht="12.75" customHeight="1" outlineLevel="1">
      <c r="B111" s="25"/>
      <c r="C111" s="48" t="s">
        <v>161</v>
      </c>
      <c r="D111" s="116"/>
    </row>
    <row r="112" spans="2:4" ht="12.75" customHeight="1" hidden="1" outlineLevel="1">
      <c r="B112" s="113">
        <v>3</v>
      </c>
      <c r="C112" s="114" t="s">
        <v>162</v>
      </c>
      <c r="D112" s="117">
        <f>SUM(D113:D118)</f>
        <v>0</v>
      </c>
    </row>
    <row r="113" spans="2:4" ht="12.75" customHeight="1" hidden="1" outlineLevel="1">
      <c r="B113" s="25"/>
      <c r="C113" s="44" t="s">
        <v>163</v>
      </c>
      <c r="D113" s="56">
        <f>0*0*1.047</f>
        <v>0</v>
      </c>
    </row>
    <row r="114" spans="2:4" ht="12.75" hidden="1" outlineLevel="1">
      <c r="B114" s="25"/>
      <c r="C114" s="44" t="s">
        <v>164</v>
      </c>
      <c r="D114" s="56">
        <f>0*1.047</f>
        <v>0</v>
      </c>
    </row>
    <row r="115" spans="2:4" ht="12.75" customHeight="1" hidden="1" outlineLevel="1">
      <c r="B115" s="25"/>
      <c r="C115" s="44" t="s">
        <v>165</v>
      </c>
      <c r="D115" s="56">
        <f>(0)*1.047</f>
        <v>0</v>
      </c>
    </row>
    <row r="116" spans="2:4" ht="12.75" customHeight="1" hidden="1" outlineLevel="1">
      <c r="B116" s="25"/>
      <c r="C116" s="44" t="s">
        <v>166</v>
      </c>
      <c r="D116" s="56">
        <f>0*1.047</f>
        <v>0</v>
      </c>
    </row>
    <row r="117" spans="2:4" ht="12.75" customHeight="1" hidden="1" outlineLevel="1">
      <c r="B117" s="25"/>
      <c r="C117" s="44" t="s">
        <v>167</v>
      </c>
      <c r="D117" s="56">
        <f>(0)*1.047</f>
        <v>0</v>
      </c>
    </row>
    <row r="118" spans="2:4" ht="12" customHeight="1" hidden="1" outlineLevel="1">
      <c r="B118" s="25"/>
      <c r="C118" s="44" t="s">
        <v>168</v>
      </c>
      <c r="D118" s="56">
        <f>(0)*1.047</f>
        <v>0</v>
      </c>
    </row>
    <row r="119" spans="2:10" ht="12.75" customHeight="1" collapsed="1">
      <c r="B119" s="25"/>
      <c r="C119" s="53" t="s">
        <v>2</v>
      </c>
      <c r="D119" s="55">
        <f>D105</f>
        <v>1903430</v>
      </c>
      <c r="I119" s="85"/>
      <c r="J119" s="85"/>
    </row>
    <row r="120" spans="2:4" ht="12.75">
      <c r="B120" s="26"/>
      <c r="C120" s="27"/>
      <c r="D120" s="13"/>
    </row>
    <row r="121" spans="2:4" ht="12.75">
      <c r="B121" s="345" t="s">
        <v>240</v>
      </c>
      <c r="C121" s="345"/>
      <c r="D121" s="87">
        <f>D14+G27+D33+G49+G59+G67+G78+F87+D99+D119</f>
        <v>4195230</v>
      </c>
    </row>
    <row r="122" spans="2:4" ht="12.75">
      <c r="B122" s="26"/>
      <c r="C122" s="27"/>
      <c r="D122" s="13"/>
    </row>
    <row r="123" spans="2:4" ht="12.75">
      <c r="B123" s="12" t="s">
        <v>85</v>
      </c>
      <c r="D123" s="12" t="s">
        <v>1</v>
      </c>
    </row>
    <row r="125" spans="2:4" ht="12.75">
      <c r="B125" s="12" t="s">
        <v>86</v>
      </c>
      <c r="D125" s="12" t="s">
        <v>56</v>
      </c>
    </row>
    <row r="128" ht="12.75">
      <c r="I128" s="85">
        <f>D121+кредиторка!D23</f>
        <v>4217330</v>
      </c>
    </row>
    <row r="129" ht="12.75">
      <c r="I129" s="85">
        <f>4765230-I128</f>
        <v>547900</v>
      </c>
    </row>
  </sheetData>
  <sheetProtection/>
  <mergeCells count="30">
    <mergeCell ref="D32:E32"/>
    <mergeCell ref="D35:E35"/>
    <mergeCell ref="D16:E16"/>
    <mergeCell ref="D13:E13"/>
    <mergeCell ref="B29:G29"/>
    <mergeCell ref="D1:G1"/>
    <mergeCell ref="D2:G2"/>
    <mergeCell ref="D14:E14"/>
    <mergeCell ref="D15:E15"/>
    <mergeCell ref="B21:D21"/>
    <mergeCell ref="D31:E31"/>
    <mergeCell ref="B80:D80"/>
    <mergeCell ref="D17:E17"/>
    <mergeCell ref="D18:E18"/>
    <mergeCell ref="B69:F69"/>
    <mergeCell ref="D33:E33"/>
    <mergeCell ref="D36:E36"/>
    <mergeCell ref="B40:F40"/>
    <mergeCell ref="B51:G51"/>
    <mergeCell ref="E104:F104"/>
    <mergeCell ref="B121:C121"/>
    <mergeCell ref="D34:E34"/>
    <mergeCell ref="D37:E37"/>
    <mergeCell ref="B89:F89"/>
    <mergeCell ref="B101:G101"/>
    <mergeCell ref="B61:G61"/>
    <mergeCell ref="D12:E12"/>
    <mergeCell ref="B10:D10"/>
    <mergeCell ref="B7:D7"/>
    <mergeCell ref="B8:D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10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K129"/>
  <sheetViews>
    <sheetView showGridLines="0" zoomScalePageLayoutView="0" workbookViewId="0" topLeftCell="A34">
      <selection activeCell="G56" sqref="G56"/>
    </sheetView>
  </sheetViews>
  <sheetFormatPr defaultColWidth="9.140625" defaultRowHeight="12.75" outlineLevelRow="1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1.140625" style="12" customWidth="1"/>
    <col min="8" max="8" width="10.8515625" style="12" bestFit="1" customWidth="1"/>
    <col min="9" max="9" width="11.851562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7" customHeight="1">
      <c r="E3" s="12" t="s">
        <v>237</v>
      </c>
    </row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241</v>
      </c>
      <c r="C8" s="334"/>
      <c r="D8" s="334"/>
    </row>
    <row r="9" ht="6.75" customHeight="1"/>
    <row r="10" spans="2:4" ht="12.75">
      <c r="B10" s="341" t="s">
        <v>59</v>
      </c>
      <c r="C10" s="341"/>
      <c r="D10" s="341"/>
    </row>
    <row r="11" ht="13.5" customHeight="1"/>
    <row r="12" spans="2:5" ht="23.25" customHeight="1">
      <c r="B12" s="22" t="s">
        <v>60</v>
      </c>
      <c r="C12" s="23" t="s">
        <v>61</v>
      </c>
      <c r="D12" s="339" t="s">
        <v>62</v>
      </c>
      <c r="E12" s="339"/>
    </row>
    <row r="13" spans="2:5" ht="12.75">
      <c r="B13" s="25">
        <v>1</v>
      </c>
      <c r="C13" s="17">
        <v>2</v>
      </c>
      <c r="D13" s="338">
        <v>3</v>
      </c>
      <c r="E13" s="338"/>
    </row>
    <row r="14" spans="2:10" ht="12.75" customHeight="1">
      <c r="B14" s="25">
        <v>1</v>
      </c>
      <c r="C14" s="17" t="s">
        <v>33</v>
      </c>
      <c r="D14" s="347">
        <v>1110700</v>
      </c>
      <c r="E14" s="347"/>
      <c r="J14" s="12">
        <f>D16-D17-D18</f>
        <v>0</v>
      </c>
    </row>
    <row r="15" spans="2:10" ht="12.75" customHeight="1">
      <c r="B15" s="25"/>
      <c r="C15" s="44" t="s">
        <v>63</v>
      </c>
      <c r="D15" s="338"/>
      <c r="E15" s="338"/>
      <c r="J15" s="12">
        <v>86225.73</v>
      </c>
    </row>
    <row r="16" spans="2:10" ht="12.75" customHeight="1">
      <c r="B16" s="25"/>
      <c r="C16" s="44" t="s">
        <v>64</v>
      </c>
      <c r="D16" s="338">
        <f>D17+D18</f>
        <v>1110699.55</v>
      </c>
      <c r="E16" s="338"/>
      <c r="H16" s="12">
        <f>D14-D16</f>
        <v>0.44999999995343387</v>
      </c>
      <c r="J16" s="12">
        <v>75990.7935153584</v>
      </c>
    </row>
    <row r="17" spans="2:5" ht="12.75" customHeight="1">
      <c r="B17" s="25"/>
      <c r="C17" s="59" t="s">
        <v>242</v>
      </c>
      <c r="D17" s="346">
        <f>86225.73*12</f>
        <v>1034708.76</v>
      </c>
      <c r="E17" s="346"/>
    </row>
    <row r="18" spans="2:5" ht="12.75" customHeight="1">
      <c r="B18" s="25"/>
      <c r="C18" s="59" t="s">
        <v>105</v>
      </c>
      <c r="D18" s="346">
        <v>75990.79</v>
      </c>
      <c r="E18" s="346"/>
    </row>
    <row r="21" spans="2:4" ht="12.75" hidden="1" outlineLevel="1">
      <c r="B21" s="341" t="s">
        <v>65</v>
      </c>
      <c r="C21" s="341"/>
      <c r="D21" s="341"/>
    </row>
    <row r="22" ht="12.75" hidden="1" outlineLevel="1"/>
    <row r="23" spans="2:7" ht="57" customHeight="1" hidden="1" outlineLevel="1">
      <c r="B23" s="22" t="s">
        <v>60</v>
      </c>
      <c r="C23" s="52" t="s">
        <v>61</v>
      </c>
      <c r="D23" s="22" t="s">
        <v>66</v>
      </c>
      <c r="E23" s="22" t="s">
        <v>67</v>
      </c>
      <c r="F23" s="22" t="s">
        <v>68</v>
      </c>
      <c r="G23" s="23" t="s">
        <v>110</v>
      </c>
    </row>
    <row r="24" spans="2:7" ht="12.75" hidden="1" outlineLevel="1">
      <c r="B24" s="17">
        <v>1</v>
      </c>
      <c r="C24" s="47">
        <v>2</v>
      </c>
      <c r="D24" s="17">
        <v>3</v>
      </c>
      <c r="E24" s="49">
        <v>4</v>
      </c>
      <c r="F24" s="23">
        <v>5</v>
      </c>
      <c r="G24" s="49">
        <v>6</v>
      </c>
    </row>
    <row r="25" spans="2:7" ht="13.5" customHeight="1" hidden="1" outlineLevel="1">
      <c r="B25" s="25">
        <v>1</v>
      </c>
      <c r="C25" s="44" t="s">
        <v>140</v>
      </c>
      <c r="D25" s="17"/>
      <c r="E25" s="34"/>
      <c r="F25" s="22"/>
      <c r="G25" s="34">
        <f>G26</f>
        <v>0</v>
      </c>
    </row>
    <row r="26" spans="2:7" ht="11.25" customHeight="1" hidden="1" outlineLevel="1">
      <c r="B26" s="25"/>
      <c r="C26" s="44" t="s">
        <v>141</v>
      </c>
      <c r="D26" s="17">
        <v>3</v>
      </c>
      <c r="E26" s="49">
        <v>5</v>
      </c>
      <c r="F26" s="17">
        <v>150</v>
      </c>
      <c r="G26" s="34"/>
    </row>
    <row r="27" spans="2:7" s="105" customFormat="1" ht="12.75" customHeight="1" hidden="1" outlineLevel="1">
      <c r="B27" s="103"/>
      <c r="C27" s="53" t="s">
        <v>2</v>
      </c>
      <c r="D27" s="38"/>
      <c r="E27" s="78"/>
      <c r="F27" s="104"/>
      <c r="G27" s="78">
        <f>G25</f>
        <v>0</v>
      </c>
    </row>
    <row r="28" spans="2:4" ht="12.75" collapsed="1">
      <c r="B28" s="24"/>
      <c r="C28" s="24"/>
      <c r="D28" s="24"/>
    </row>
    <row r="29" spans="2:7" ht="12.75" customHeight="1">
      <c r="B29" s="340" t="s">
        <v>114</v>
      </c>
      <c r="C29" s="340"/>
      <c r="D29" s="340"/>
      <c r="E29" s="340"/>
      <c r="F29" s="340"/>
      <c r="G29" s="340"/>
    </row>
    <row r="30" spans="2:4" ht="25.5" customHeight="1">
      <c r="B30" s="24"/>
      <c r="C30" s="24"/>
      <c r="D30" s="24"/>
    </row>
    <row r="31" spans="2:5" ht="21.75" customHeight="1">
      <c r="B31" s="22" t="s">
        <v>60</v>
      </c>
      <c r="C31" s="23" t="s">
        <v>61</v>
      </c>
      <c r="D31" s="339" t="s">
        <v>62</v>
      </c>
      <c r="E31" s="339"/>
    </row>
    <row r="32" spans="2:5" ht="12.75">
      <c r="B32" s="23">
        <v>1</v>
      </c>
      <c r="C32" s="23">
        <v>2</v>
      </c>
      <c r="D32" s="339">
        <v>3</v>
      </c>
      <c r="E32" s="339"/>
    </row>
    <row r="33" spans="2:6" ht="18" customHeight="1">
      <c r="B33" s="25">
        <v>1</v>
      </c>
      <c r="C33" s="44" t="s">
        <v>70</v>
      </c>
      <c r="D33" s="336">
        <f>D34+D35</f>
        <v>335400</v>
      </c>
      <c r="E33" s="336"/>
      <c r="F33" s="33"/>
    </row>
    <row r="34" spans="2:6" ht="12.75" customHeight="1">
      <c r="B34" s="25"/>
      <c r="C34" s="48" t="s">
        <v>71</v>
      </c>
      <c r="D34" s="335"/>
      <c r="E34" s="335"/>
      <c r="F34" s="33"/>
    </row>
    <row r="35" spans="2:6" ht="12.75" customHeight="1">
      <c r="B35" s="25"/>
      <c r="C35" s="48" t="s">
        <v>74</v>
      </c>
      <c r="D35" s="337">
        <v>335400</v>
      </c>
      <c r="E35" s="337"/>
      <c r="F35" s="33"/>
    </row>
    <row r="36" spans="2:6" ht="12.75" customHeight="1" hidden="1">
      <c r="B36" s="25"/>
      <c r="C36" s="44" t="s">
        <v>72</v>
      </c>
      <c r="D36" s="338">
        <v>24905</v>
      </c>
      <c r="E36" s="338"/>
      <c r="F36" s="33"/>
    </row>
    <row r="37" spans="2:5" ht="12.75" customHeight="1" hidden="1">
      <c r="B37" s="25"/>
      <c r="C37" s="44" t="s">
        <v>73</v>
      </c>
      <c r="D37" s="338">
        <v>217722</v>
      </c>
      <c r="E37" s="338"/>
    </row>
    <row r="38" spans="2:4" ht="12.75">
      <c r="B38" s="26"/>
      <c r="C38" s="27"/>
      <c r="D38" s="13"/>
    </row>
    <row r="39" spans="2:4" ht="12.75">
      <c r="B39" s="26"/>
      <c r="C39" s="27"/>
      <c r="D39" s="13"/>
    </row>
    <row r="40" spans="2:6" ht="12.75">
      <c r="B40" s="341" t="s">
        <v>75</v>
      </c>
      <c r="C40" s="341"/>
      <c r="D40" s="341"/>
      <c r="E40" s="341"/>
      <c r="F40" s="341"/>
    </row>
    <row r="42" spans="2:7" ht="49.5" customHeight="1">
      <c r="B42" s="22" t="s">
        <v>60</v>
      </c>
      <c r="C42" s="52" t="s">
        <v>61</v>
      </c>
      <c r="D42" s="23" t="s">
        <v>108</v>
      </c>
      <c r="E42" s="34" t="s">
        <v>112</v>
      </c>
      <c r="F42" s="23" t="s">
        <v>109</v>
      </c>
      <c r="G42" s="22" t="s">
        <v>111</v>
      </c>
    </row>
    <row r="43" spans="2:7" ht="13.5" customHeight="1">
      <c r="B43" s="17">
        <v>1</v>
      </c>
      <c r="C43" s="47">
        <v>2</v>
      </c>
      <c r="D43" s="17">
        <v>3</v>
      </c>
      <c r="E43" s="34"/>
      <c r="F43" s="49">
        <v>4</v>
      </c>
      <c r="G43" s="49">
        <v>5</v>
      </c>
    </row>
    <row r="44" spans="2:8" ht="45" customHeight="1">
      <c r="B44" s="110">
        <v>1</v>
      </c>
      <c r="C44" s="111" t="s">
        <v>76</v>
      </c>
      <c r="D44" s="112"/>
      <c r="E44" s="34"/>
      <c r="F44" s="112"/>
      <c r="G44" s="112"/>
      <c r="H44" s="12">
        <f>G44-G45-G46</f>
        <v>0</v>
      </c>
    </row>
    <row r="45" spans="2:8" ht="12.75" customHeight="1">
      <c r="B45" s="34"/>
      <c r="C45" s="54" t="s">
        <v>106</v>
      </c>
      <c r="D45" s="49">
        <v>261.4</v>
      </c>
      <c r="E45" s="49">
        <v>104.7</v>
      </c>
      <c r="F45" s="49">
        <v>12</v>
      </c>
      <c r="G45" s="49"/>
      <c r="H45" s="12">
        <f>D45*F45*E45/100</f>
        <v>3284.2295999999997</v>
      </c>
    </row>
    <row r="46" spans="2:11" ht="12.75" customHeight="1">
      <c r="B46" s="34"/>
      <c r="C46" s="54" t="s">
        <v>107</v>
      </c>
      <c r="D46" s="49">
        <v>0.56</v>
      </c>
      <c r="E46" s="49">
        <v>104.7</v>
      </c>
      <c r="F46" s="49">
        <v>11292</v>
      </c>
      <c r="G46" s="49"/>
      <c r="H46" s="12">
        <f>D46*F46*E46/100</f>
        <v>6620.725440000001</v>
      </c>
      <c r="J46" s="12">
        <f>G44-G45</f>
        <v>0</v>
      </c>
      <c r="K46" s="12">
        <f>J46/(D46*E46/100)</f>
        <v>0</v>
      </c>
    </row>
    <row r="47" spans="2:8" ht="23.25" customHeight="1">
      <c r="B47" s="110">
        <v>2</v>
      </c>
      <c r="C47" s="111" t="s">
        <v>77</v>
      </c>
      <c r="D47" s="112">
        <v>796</v>
      </c>
      <c r="E47" s="112">
        <v>104.7</v>
      </c>
      <c r="F47" s="112">
        <v>12</v>
      </c>
      <c r="G47" s="112"/>
      <c r="H47" s="12">
        <f>D47*F47*E47/100</f>
        <v>10000.944</v>
      </c>
    </row>
    <row r="48" spans="2:7" ht="12.75">
      <c r="B48" s="34">
        <v>3</v>
      </c>
      <c r="C48" s="54"/>
      <c r="D48" s="49"/>
      <c r="E48" s="49"/>
      <c r="F48" s="49"/>
      <c r="G48" s="49"/>
    </row>
    <row r="49" spans="2:7" ht="12.75">
      <c r="B49" s="35"/>
      <c r="C49" s="60" t="s">
        <v>2</v>
      </c>
      <c r="D49" s="50"/>
      <c r="E49" s="34"/>
      <c r="F49" s="49"/>
      <c r="G49" s="50">
        <f>G44+G47</f>
        <v>0</v>
      </c>
    </row>
    <row r="51" spans="2:7" ht="12.75">
      <c r="B51" s="341" t="s">
        <v>78</v>
      </c>
      <c r="C51" s="341"/>
      <c r="D51" s="341"/>
      <c r="E51" s="341"/>
      <c r="F51" s="341"/>
      <c r="G51" s="341"/>
    </row>
    <row r="52" ht="12.75" customHeight="1"/>
    <row r="53" spans="2:7" ht="47.25" customHeight="1">
      <c r="B53" s="22" t="s">
        <v>60</v>
      </c>
      <c r="C53" s="52" t="s">
        <v>61</v>
      </c>
      <c r="D53" s="23" t="s">
        <v>79</v>
      </c>
      <c r="E53" s="68" t="s">
        <v>112</v>
      </c>
      <c r="F53" s="23" t="s">
        <v>80</v>
      </c>
      <c r="G53" s="23" t="s">
        <v>113</v>
      </c>
    </row>
    <row r="54" spans="2:7" s="66" customFormat="1" ht="17.25" customHeight="1">
      <c r="B54" s="63">
        <v>1</v>
      </c>
      <c r="C54" s="62">
        <v>2</v>
      </c>
      <c r="D54" s="63">
        <v>3</v>
      </c>
      <c r="E54" s="65">
        <v>4</v>
      </c>
      <c r="F54" s="65">
        <v>5</v>
      </c>
      <c r="G54" s="65">
        <v>6</v>
      </c>
    </row>
    <row r="55" spans="2:10" ht="90" customHeight="1">
      <c r="B55" s="25">
        <v>1</v>
      </c>
      <c r="C55" s="67" t="s">
        <v>170</v>
      </c>
      <c r="D55" s="69">
        <v>8.749</v>
      </c>
      <c r="E55" s="70">
        <v>104.7</v>
      </c>
      <c r="F55" s="69">
        <v>41600</v>
      </c>
      <c r="G55" s="69"/>
      <c r="H55" s="12">
        <f>D55*E55*F55/100</f>
        <v>381064.44480000006</v>
      </c>
      <c r="J55" s="12">
        <f>381080-G55</f>
        <v>381080</v>
      </c>
    </row>
    <row r="56" spans="2:10" ht="27.75" customHeight="1">
      <c r="B56" s="25">
        <v>2</v>
      </c>
      <c r="C56" s="86" t="s">
        <v>125</v>
      </c>
      <c r="D56" s="70">
        <v>2026.87</v>
      </c>
      <c r="E56" s="193">
        <v>1</v>
      </c>
      <c r="F56" s="65">
        <v>257.2</v>
      </c>
      <c r="G56" s="65">
        <v>521040</v>
      </c>
      <c r="H56" s="12">
        <f>D56*E56*F56/100</f>
        <v>5213.109639999999</v>
      </c>
      <c r="J56" s="12">
        <f>505770-G56</f>
        <v>-15270</v>
      </c>
    </row>
    <row r="57" spans="2:10" ht="27.75" customHeight="1">
      <c r="B57" s="58">
        <v>3</v>
      </c>
      <c r="C57" s="46" t="s">
        <v>87</v>
      </c>
      <c r="D57" s="71">
        <v>45.849</v>
      </c>
      <c r="E57" s="65">
        <v>103.7</v>
      </c>
      <c r="F57" s="65">
        <v>110</v>
      </c>
      <c r="G57" s="65"/>
      <c r="H57" s="12">
        <f>D57*E57*F57/100</f>
        <v>5229.99543</v>
      </c>
      <c r="J57" s="12">
        <f>5230-G57</f>
        <v>5230</v>
      </c>
    </row>
    <row r="58" spans="2:8" ht="12.75" customHeight="1">
      <c r="B58" s="58">
        <v>4</v>
      </c>
      <c r="C58" s="61" t="s">
        <v>48</v>
      </c>
      <c r="D58" s="71">
        <v>100</v>
      </c>
      <c r="E58" s="65">
        <v>1</v>
      </c>
      <c r="F58" s="65">
        <f>G58/D58</f>
        <v>0</v>
      </c>
      <c r="G58" s="65"/>
      <c r="H58" s="12">
        <f>D58*E58*F58</f>
        <v>0</v>
      </c>
    </row>
    <row r="59" spans="2:7" ht="12.75">
      <c r="B59" s="25"/>
      <c r="C59" s="60" t="s">
        <v>2</v>
      </c>
      <c r="D59" s="72"/>
      <c r="E59" s="65"/>
      <c r="F59" s="65"/>
      <c r="G59" s="106">
        <f>G55+G56+G57+G58</f>
        <v>521040</v>
      </c>
    </row>
    <row r="61" spans="2:7" ht="12.75" customHeight="1">
      <c r="B61" s="340" t="s">
        <v>81</v>
      </c>
      <c r="C61" s="340"/>
      <c r="D61" s="340"/>
      <c r="E61" s="340"/>
      <c r="F61" s="340"/>
      <c r="G61" s="340"/>
    </row>
    <row r="62" spans="2:4" ht="12.75">
      <c r="B62" s="24"/>
      <c r="C62" s="24"/>
      <c r="D62" s="24"/>
    </row>
    <row r="63" spans="2:7" ht="62.25" customHeight="1">
      <c r="B63" s="22" t="s">
        <v>60</v>
      </c>
      <c r="C63" s="23" t="s">
        <v>61</v>
      </c>
      <c r="D63" s="23" t="s">
        <v>115</v>
      </c>
      <c r="E63" s="68" t="s">
        <v>112</v>
      </c>
      <c r="F63" s="23" t="s">
        <v>80</v>
      </c>
      <c r="G63" s="23" t="s">
        <v>116</v>
      </c>
    </row>
    <row r="64" spans="2:7" s="76" customFormat="1" ht="12.75" customHeight="1">
      <c r="B64" s="63">
        <v>1</v>
      </c>
      <c r="C64" s="63">
        <v>2</v>
      </c>
      <c r="D64" s="63">
        <v>3</v>
      </c>
      <c r="E64" s="68"/>
      <c r="F64" s="65">
        <v>4</v>
      </c>
      <c r="G64" s="65">
        <v>5</v>
      </c>
    </row>
    <row r="65" spans="2:10" ht="12.75" customHeight="1">
      <c r="B65" s="25">
        <v>1</v>
      </c>
      <c r="C65" s="84" t="s">
        <v>126</v>
      </c>
      <c r="D65" s="75">
        <v>3655</v>
      </c>
      <c r="E65" s="68">
        <v>104.7</v>
      </c>
      <c r="F65" s="49">
        <v>12</v>
      </c>
      <c r="G65" s="65"/>
      <c r="I65" s="12">
        <f>D65*F65*E65/100</f>
        <v>45921.42</v>
      </c>
      <c r="J65" s="12">
        <f>48060/12/1.047</f>
        <v>3825.2148997134673</v>
      </c>
    </row>
    <row r="66" spans="2:9" ht="12.75" customHeight="1" outlineLevel="1">
      <c r="B66" s="25">
        <v>2</v>
      </c>
      <c r="C66" s="74" t="s">
        <v>142</v>
      </c>
      <c r="D66" s="75">
        <v>3220</v>
      </c>
      <c r="E66" s="68">
        <v>104.7</v>
      </c>
      <c r="F66" s="49">
        <v>3</v>
      </c>
      <c r="G66" s="65"/>
      <c r="I66" s="12">
        <f>D66*F66*E66/100</f>
        <v>10114.02</v>
      </c>
    </row>
    <row r="67" spans="2:9" ht="12.75" customHeight="1">
      <c r="B67" s="25"/>
      <c r="C67" s="51" t="s">
        <v>82</v>
      </c>
      <c r="D67" s="38"/>
      <c r="E67" s="68"/>
      <c r="F67" s="34"/>
      <c r="G67" s="73">
        <f>SUM(G65:G66)</f>
        <v>0</v>
      </c>
      <c r="H67" s="12">
        <v>87600</v>
      </c>
      <c r="I67" s="12">
        <f>H67-G67</f>
        <v>87600</v>
      </c>
    </row>
    <row r="68" ht="12" customHeight="1"/>
    <row r="69" spans="2:6" ht="12.75" customHeight="1">
      <c r="B69" s="340" t="s">
        <v>118</v>
      </c>
      <c r="C69" s="340"/>
      <c r="D69" s="340"/>
      <c r="E69" s="340"/>
      <c r="F69" s="340"/>
    </row>
    <row r="70" spans="2:4" ht="12.75">
      <c r="B70" s="24"/>
      <c r="C70" s="24"/>
      <c r="D70" s="24"/>
    </row>
    <row r="71" spans="2:7" ht="47.25" customHeight="1">
      <c r="B71" s="22" t="s">
        <v>60</v>
      </c>
      <c r="C71" s="23" t="s">
        <v>61</v>
      </c>
      <c r="D71" s="23" t="s">
        <v>115</v>
      </c>
      <c r="E71" s="34" t="s">
        <v>112</v>
      </c>
      <c r="F71" s="23" t="s">
        <v>80</v>
      </c>
      <c r="G71" s="23" t="s">
        <v>116</v>
      </c>
    </row>
    <row r="72" spans="2:7" s="66" customFormat="1" ht="12">
      <c r="B72" s="63">
        <v>1</v>
      </c>
      <c r="C72" s="63">
        <v>2</v>
      </c>
      <c r="D72" s="63">
        <v>3</v>
      </c>
      <c r="E72" s="65"/>
      <c r="F72" s="65">
        <v>4</v>
      </c>
      <c r="G72" s="65">
        <v>5</v>
      </c>
    </row>
    <row r="73" spans="2:7" ht="12.75" customHeight="1" hidden="1" outlineLevel="1">
      <c r="B73" s="25">
        <v>1</v>
      </c>
      <c r="C73" s="44" t="s">
        <v>123</v>
      </c>
      <c r="D73" s="40"/>
      <c r="E73" s="49"/>
      <c r="F73" s="49"/>
      <c r="G73" s="108">
        <v>0</v>
      </c>
    </row>
    <row r="74" spans="2:8" ht="12.75" customHeight="1" hidden="1" outlineLevel="1">
      <c r="B74" s="25">
        <v>2</v>
      </c>
      <c r="C74" s="84" t="s">
        <v>127</v>
      </c>
      <c r="D74" s="75">
        <v>3700</v>
      </c>
      <c r="E74" s="49">
        <v>104.7</v>
      </c>
      <c r="F74" s="49">
        <v>12</v>
      </c>
      <c r="G74" s="107">
        <v>0</v>
      </c>
      <c r="H74" s="12">
        <f>D74*F74*E74/100</f>
        <v>46486.8</v>
      </c>
    </row>
    <row r="75" spans="2:9" ht="12.75" customHeight="1" hidden="1" outlineLevel="1">
      <c r="B75" s="25">
        <v>3</v>
      </c>
      <c r="C75" s="44" t="s">
        <v>143</v>
      </c>
      <c r="D75" s="40"/>
      <c r="E75" s="49"/>
      <c r="F75" s="49"/>
      <c r="G75" s="108">
        <v>0</v>
      </c>
      <c r="H75" s="12">
        <v>53710</v>
      </c>
      <c r="I75" s="12">
        <f>H75-G75</f>
        <v>53710</v>
      </c>
    </row>
    <row r="76" spans="2:7" ht="12.75" collapsed="1">
      <c r="B76" s="25">
        <v>1</v>
      </c>
      <c r="C76" s="44" t="s">
        <v>169</v>
      </c>
      <c r="D76" s="40"/>
      <c r="E76" s="49"/>
      <c r="F76" s="49"/>
      <c r="G76" s="49"/>
    </row>
    <row r="77" spans="2:7" ht="12.75">
      <c r="B77" s="25">
        <v>2</v>
      </c>
      <c r="C77" s="44" t="s">
        <v>154</v>
      </c>
      <c r="D77" s="40"/>
      <c r="E77" s="49"/>
      <c r="F77" s="49"/>
      <c r="G77" s="49"/>
    </row>
    <row r="78" spans="2:9" ht="12.75" customHeight="1">
      <c r="B78" s="25"/>
      <c r="C78" s="53" t="s">
        <v>82</v>
      </c>
      <c r="D78" s="38"/>
      <c r="E78" s="49"/>
      <c r="F78" s="49"/>
      <c r="G78" s="50">
        <f>SUM(G73:G77)</f>
        <v>0</v>
      </c>
      <c r="H78" s="12">
        <v>138555</v>
      </c>
      <c r="I78" s="12">
        <f>H78-G78</f>
        <v>138555</v>
      </c>
    </row>
    <row r="80" spans="2:4" ht="12.75">
      <c r="B80" s="340" t="s">
        <v>83</v>
      </c>
      <c r="C80" s="340"/>
      <c r="D80" s="340"/>
    </row>
    <row r="81" spans="2:4" ht="12.75" customHeight="1">
      <c r="B81" s="24"/>
      <c r="C81" s="24"/>
      <c r="D81" s="24"/>
    </row>
    <row r="82" spans="2:6" s="77" customFormat="1" ht="49.5" customHeight="1">
      <c r="B82" s="22" t="s">
        <v>60</v>
      </c>
      <c r="C82" s="23" t="s">
        <v>61</v>
      </c>
      <c r="D82" s="23" t="s">
        <v>120</v>
      </c>
      <c r="E82" s="23" t="s">
        <v>117</v>
      </c>
      <c r="F82" s="23" t="s">
        <v>116</v>
      </c>
    </row>
    <row r="83" spans="2:6" s="66" customFormat="1" ht="12">
      <c r="B83" s="63">
        <v>1</v>
      </c>
      <c r="C83" s="63">
        <v>2</v>
      </c>
      <c r="D83" s="63">
        <v>3</v>
      </c>
      <c r="E83" s="65">
        <v>4</v>
      </c>
      <c r="F83" s="65">
        <v>5</v>
      </c>
    </row>
    <row r="84" spans="2:8" ht="12.75" customHeight="1">
      <c r="B84" s="25">
        <v>1</v>
      </c>
      <c r="C84" s="44" t="s">
        <v>84</v>
      </c>
      <c r="D84" s="63"/>
      <c r="E84" s="65"/>
      <c r="F84" s="65">
        <v>0</v>
      </c>
      <c r="H84" s="12">
        <f>D84*E84</f>
        <v>0</v>
      </c>
    </row>
    <row r="85" spans="2:8" ht="12.75" customHeight="1">
      <c r="B85" s="25">
        <v>2</v>
      </c>
      <c r="C85" s="44" t="s">
        <v>3</v>
      </c>
      <c r="D85" s="63">
        <v>50.75</v>
      </c>
      <c r="E85" s="65">
        <v>4</v>
      </c>
      <c r="F85" s="65"/>
      <c r="H85" s="12">
        <f>D85*E85</f>
        <v>203</v>
      </c>
    </row>
    <row r="86" spans="2:8" ht="12.75" customHeight="1">
      <c r="B86" s="25">
        <v>3</v>
      </c>
      <c r="C86" s="36" t="s">
        <v>103</v>
      </c>
      <c r="D86" s="63"/>
      <c r="E86" s="65"/>
      <c r="F86" s="65"/>
      <c r="H86" s="12">
        <f>D86*E86</f>
        <v>0</v>
      </c>
    </row>
    <row r="87" spans="2:6" ht="12.75" customHeight="1">
      <c r="B87" s="25"/>
      <c r="C87" s="53" t="s">
        <v>2</v>
      </c>
      <c r="D87" s="72"/>
      <c r="E87" s="65"/>
      <c r="F87" s="73">
        <f>SUM(F84:F86)</f>
        <v>0</v>
      </c>
    </row>
    <row r="88" spans="2:4" ht="12.75">
      <c r="B88" s="26"/>
      <c r="C88" s="27"/>
      <c r="D88" s="13"/>
    </row>
    <row r="89" spans="2:6" ht="25.5" customHeight="1" hidden="1" outlineLevel="1">
      <c r="B89" s="340" t="s">
        <v>94</v>
      </c>
      <c r="C89" s="340"/>
      <c r="D89" s="340"/>
      <c r="E89" s="340"/>
      <c r="F89" s="340"/>
    </row>
    <row r="90" spans="2:4" ht="12.75" hidden="1" outlineLevel="1">
      <c r="B90" s="24"/>
      <c r="C90" s="24"/>
      <c r="D90" s="24"/>
    </row>
    <row r="91" spans="2:4" ht="36" customHeight="1" hidden="1" outlineLevel="1">
      <c r="B91" s="22" t="s">
        <v>60</v>
      </c>
      <c r="C91" s="23" t="s">
        <v>61</v>
      </c>
      <c r="D91" s="23" t="s">
        <v>62</v>
      </c>
    </row>
    <row r="92" spans="2:4" ht="12.75" hidden="1" outlineLevel="1">
      <c r="B92" s="17">
        <v>1</v>
      </c>
      <c r="C92" s="17">
        <v>2</v>
      </c>
      <c r="D92" s="17">
        <v>3</v>
      </c>
    </row>
    <row r="93" spans="2:4" ht="12.75" hidden="1" outlineLevel="1">
      <c r="B93" s="25">
        <v>1</v>
      </c>
      <c r="C93" s="44" t="s">
        <v>147</v>
      </c>
      <c r="D93" s="109"/>
    </row>
    <row r="94" spans="2:4" ht="12.75" hidden="1" outlineLevel="1">
      <c r="B94" s="25">
        <v>2</v>
      </c>
      <c r="C94" s="44" t="s">
        <v>144</v>
      </c>
      <c r="D94" s="109"/>
    </row>
    <row r="95" spans="2:4" ht="12.75" hidden="1" outlineLevel="1">
      <c r="B95" s="25">
        <v>3</v>
      </c>
      <c r="C95" s="44" t="s">
        <v>146</v>
      </c>
      <c r="D95" s="109"/>
    </row>
    <row r="96" spans="2:4" ht="12.75" hidden="1" outlineLevel="1">
      <c r="B96" s="25">
        <v>4</v>
      </c>
      <c r="C96" s="44" t="s">
        <v>150</v>
      </c>
      <c r="D96" s="109"/>
    </row>
    <row r="97" spans="2:4" ht="12.75" hidden="1" outlineLevel="1">
      <c r="B97" s="25"/>
      <c r="C97" s="44"/>
      <c r="D97" s="56"/>
    </row>
    <row r="98" spans="2:4" ht="12.75" hidden="1" outlineLevel="1">
      <c r="B98" s="25"/>
      <c r="C98" s="44"/>
      <c r="D98" s="56"/>
    </row>
    <row r="99" spans="2:9" ht="12.75" customHeight="1" hidden="1" outlineLevel="1">
      <c r="B99" s="25"/>
      <c r="C99" s="53" t="s">
        <v>2</v>
      </c>
      <c r="D99" s="55">
        <f>SUM(D93:D98)</f>
        <v>0</v>
      </c>
      <c r="H99" s="12">
        <v>202436</v>
      </c>
      <c r="I99" s="85">
        <f>H99-D99</f>
        <v>202436</v>
      </c>
    </row>
    <row r="100" spans="2:4" ht="12.75" collapsed="1">
      <c r="B100" s="26"/>
      <c r="C100" s="27"/>
      <c r="D100" s="13"/>
    </row>
    <row r="101" spans="2:7" ht="12.75" customHeight="1">
      <c r="B101" s="340" t="s">
        <v>239</v>
      </c>
      <c r="C101" s="340"/>
      <c r="D101" s="340"/>
      <c r="E101" s="340"/>
      <c r="F101" s="340"/>
      <c r="G101" s="340"/>
    </row>
    <row r="102" spans="2:4" ht="12.75">
      <c r="B102" s="24"/>
      <c r="C102" s="24"/>
      <c r="D102" s="24"/>
    </row>
    <row r="103" spans="2:4" ht="40.5" customHeight="1">
      <c r="B103" s="22" t="s">
        <v>60</v>
      </c>
      <c r="C103" s="23" t="s">
        <v>61</v>
      </c>
      <c r="D103" s="23" t="s">
        <v>62</v>
      </c>
    </row>
    <row r="104" spans="2:6" ht="12.75">
      <c r="B104" s="17">
        <v>1</v>
      </c>
      <c r="C104" s="17">
        <v>2</v>
      </c>
      <c r="D104" s="17">
        <v>4</v>
      </c>
      <c r="E104" s="343"/>
      <c r="F104" s="334"/>
    </row>
    <row r="105" spans="2:8" ht="12.75" customHeight="1">
      <c r="B105" s="113">
        <v>1</v>
      </c>
      <c r="C105" s="114" t="s">
        <v>155</v>
      </c>
      <c r="D105" s="115">
        <f>D106+D111</f>
        <v>1995220</v>
      </c>
      <c r="H105" s="85">
        <f>1923400-D105</f>
        <v>-71820</v>
      </c>
    </row>
    <row r="106" spans="2:8" ht="12.75" customHeight="1">
      <c r="B106" s="113"/>
      <c r="C106" s="48" t="s">
        <v>156</v>
      </c>
      <c r="D106" s="116">
        <v>1995220</v>
      </c>
      <c r="H106" s="85"/>
    </row>
    <row r="107" spans="2:4" ht="12.75" customHeight="1" hidden="1">
      <c r="B107" s="25"/>
      <c r="C107" s="44" t="s">
        <v>157</v>
      </c>
      <c r="D107" s="45">
        <f>(342772+123950)*104.4%+42.23</f>
        <v>487299.998</v>
      </c>
    </row>
    <row r="108" spans="2:4" ht="12.75" customHeight="1" hidden="1">
      <c r="B108" s="25"/>
      <c r="C108" s="44" t="s">
        <v>158</v>
      </c>
      <c r="D108" s="45">
        <f>(27705+10050)*104.4%+83.78</f>
        <v>39500</v>
      </c>
    </row>
    <row r="109" spans="2:4" ht="12.75" customHeight="1" hidden="1">
      <c r="B109" s="25"/>
      <c r="C109" s="44" t="s">
        <v>159</v>
      </c>
      <c r="D109" s="45">
        <f>(928800+273750-40)*104.4%+679.56</f>
        <v>1256100</v>
      </c>
    </row>
    <row r="110" spans="2:4" ht="12.75" customHeight="1" hidden="1">
      <c r="B110" s="25"/>
      <c r="C110" s="44" t="s">
        <v>160</v>
      </c>
      <c r="D110" s="45">
        <f>(108263+26250)*104.4%+68.43</f>
        <v>140500.002</v>
      </c>
    </row>
    <row r="111" spans="2:4" ht="12.75" customHeight="1" outlineLevel="1">
      <c r="B111" s="25"/>
      <c r="C111" s="48" t="s">
        <v>161</v>
      </c>
      <c r="D111" s="116"/>
    </row>
    <row r="112" spans="2:4" ht="12.75" customHeight="1" hidden="1" outlineLevel="1">
      <c r="B112" s="113">
        <v>3</v>
      </c>
      <c r="C112" s="114" t="s">
        <v>162</v>
      </c>
      <c r="D112" s="117">
        <f>SUM(D113:D118)</f>
        <v>0</v>
      </c>
    </row>
    <row r="113" spans="2:4" ht="12.75" customHeight="1" hidden="1" outlineLevel="1">
      <c r="B113" s="25"/>
      <c r="C113" s="44" t="s">
        <v>163</v>
      </c>
      <c r="D113" s="56">
        <f>0*0*1.047</f>
        <v>0</v>
      </c>
    </row>
    <row r="114" spans="2:4" ht="12.75" hidden="1" outlineLevel="1">
      <c r="B114" s="25"/>
      <c r="C114" s="44" t="s">
        <v>164</v>
      </c>
      <c r="D114" s="56">
        <f>0*1.047</f>
        <v>0</v>
      </c>
    </row>
    <row r="115" spans="2:4" ht="12.75" customHeight="1" hidden="1" outlineLevel="1">
      <c r="B115" s="25"/>
      <c r="C115" s="44" t="s">
        <v>165</v>
      </c>
      <c r="D115" s="56">
        <f>(0)*1.047</f>
        <v>0</v>
      </c>
    </row>
    <row r="116" spans="2:4" ht="12.75" customHeight="1" hidden="1" outlineLevel="1">
      <c r="B116" s="25"/>
      <c r="C116" s="44" t="s">
        <v>166</v>
      </c>
      <c r="D116" s="56">
        <f>0*1.047</f>
        <v>0</v>
      </c>
    </row>
    <row r="117" spans="2:4" ht="12.75" customHeight="1" hidden="1" outlineLevel="1">
      <c r="B117" s="25"/>
      <c r="C117" s="44" t="s">
        <v>167</v>
      </c>
      <c r="D117" s="56">
        <f>(0)*1.047</f>
        <v>0</v>
      </c>
    </row>
    <row r="118" spans="2:4" ht="12" customHeight="1" hidden="1" outlineLevel="1">
      <c r="B118" s="25"/>
      <c r="C118" s="44" t="s">
        <v>168</v>
      </c>
      <c r="D118" s="56">
        <f>(0)*1.047</f>
        <v>0</v>
      </c>
    </row>
    <row r="119" spans="2:10" ht="12.75" customHeight="1" collapsed="1">
      <c r="B119" s="25"/>
      <c r="C119" s="53" t="s">
        <v>2</v>
      </c>
      <c r="D119" s="55">
        <f>D105</f>
        <v>1995220</v>
      </c>
      <c r="I119" s="85"/>
      <c r="J119" s="85"/>
    </row>
    <row r="120" spans="2:4" ht="12.75">
      <c r="B120" s="26"/>
      <c r="C120" s="27"/>
      <c r="D120" s="13"/>
    </row>
    <row r="121" spans="2:4" ht="12.75">
      <c r="B121" s="345" t="s">
        <v>243</v>
      </c>
      <c r="C121" s="345"/>
      <c r="D121" s="87">
        <f>D14+G27+D33+G49+G59+G67+G78+F87+D99+D119</f>
        <v>3962360</v>
      </c>
    </row>
    <row r="122" spans="2:4" ht="12.75">
      <c r="B122" s="26"/>
      <c r="C122" s="27"/>
      <c r="D122" s="13"/>
    </row>
    <row r="123" spans="2:4" ht="12.75">
      <c r="B123" s="12" t="s">
        <v>85</v>
      </c>
      <c r="D123" s="12" t="s">
        <v>1</v>
      </c>
    </row>
    <row r="125" spans="2:4" ht="12.75">
      <c r="B125" s="12" t="s">
        <v>86</v>
      </c>
      <c r="D125" s="12" t="s">
        <v>56</v>
      </c>
    </row>
    <row r="128" ht="12.75">
      <c r="I128" s="85">
        <f>D121+кредиторка!D23</f>
        <v>3984460</v>
      </c>
    </row>
    <row r="129" ht="12.75">
      <c r="I129" s="85">
        <f>4765230-I128</f>
        <v>780770</v>
      </c>
    </row>
  </sheetData>
  <sheetProtection/>
  <mergeCells count="30">
    <mergeCell ref="D1:G1"/>
    <mergeCell ref="D2:G2"/>
    <mergeCell ref="D37:E37"/>
    <mergeCell ref="B80:D80"/>
    <mergeCell ref="D17:E17"/>
    <mergeCell ref="D18:E18"/>
    <mergeCell ref="B89:F89"/>
    <mergeCell ref="B101:G101"/>
    <mergeCell ref="E104:F104"/>
    <mergeCell ref="B121:C121"/>
    <mergeCell ref="B69:F69"/>
    <mergeCell ref="D33:E33"/>
    <mergeCell ref="D36:E36"/>
    <mergeCell ref="B21:D21"/>
    <mergeCell ref="D31:E31"/>
    <mergeCell ref="B61:G61"/>
    <mergeCell ref="B29:G29"/>
    <mergeCell ref="B40:F40"/>
    <mergeCell ref="B51:G51"/>
    <mergeCell ref="D32:E32"/>
    <mergeCell ref="B10:D10"/>
    <mergeCell ref="D35:E35"/>
    <mergeCell ref="B7:D7"/>
    <mergeCell ref="B8:D8"/>
    <mergeCell ref="D34:E34"/>
    <mergeCell ref="D14:E14"/>
    <mergeCell ref="D15:E15"/>
    <mergeCell ref="D16:E16"/>
    <mergeCell ref="D13:E13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10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B1:J57"/>
  <sheetViews>
    <sheetView showGridLines="0" zoomScalePageLayoutView="0" workbookViewId="0" topLeftCell="A13">
      <selection activeCell="B54" sqref="B54"/>
    </sheetView>
  </sheetViews>
  <sheetFormatPr defaultColWidth="9.140625" defaultRowHeight="12.75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0.28125" style="12" customWidth="1"/>
    <col min="8" max="8" width="9.140625" style="12" customWidth="1"/>
    <col min="9" max="9" width="11.710937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8.5" customHeight="1">
      <c r="E3" s="12" t="s">
        <v>237</v>
      </c>
    </row>
    <row r="4" ht="14.25" customHeight="1"/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196</v>
      </c>
      <c r="C8" s="334"/>
      <c r="D8" s="334"/>
    </row>
    <row r="9" ht="6.75" customHeight="1"/>
    <row r="10" spans="2:4" ht="12.75">
      <c r="B10" s="341" t="s">
        <v>59</v>
      </c>
      <c r="C10" s="341"/>
      <c r="D10" s="341"/>
    </row>
    <row r="11" ht="13.5" customHeight="1"/>
    <row r="12" spans="2:5" ht="23.25" customHeight="1">
      <c r="B12" s="22" t="s">
        <v>60</v>
      </c>
      <c r="C12" s="23" t="s">
        <v>61</v>
      </c>
      <c r="D12" s="339" t="s">
        <v>62</v>
      </c>
      <c r="E12" s="339"/>
    </row>
    <row r="13" spans="2:5" ht="12.75">
      <c r="B13" s="25">
        <v>1</v>
      </c>
      <c r="C13" s="17">
        <v>2</v>
      </c>
      <c r="D13" s="338">
        <v>3</v>
      </c>
      <c r="E13" s="338"/>
    </row>
    <row r="14" spans="2:5" ht="12.75" customHeight="1">
      <c r="B14" s="25">
        <v>1</v>
      </c>
      <c r="C14" s="17" t="s">
        <v>33</v>
      </c>
      <c r="D14" s="354">
        <f>D15</f>
        <v>4568500</v>
      </c>
      <c r="E14" s="354"/>
    </row>
    <row r="15" spans="2:5" ht="12.75" customHeight="1">
      <c r="B15" s="25"/>
      <c r="C15" s="44" t="s">
        <v>63</v>
      </c>
      <c r="D15" s="355">
        <f>D16+D19</f>
        <v>4568500</v>
      </c>
      <c r="E15" s="355"/>
    </row>
    <row r="16" spans="2:5" ht="12.75" customHeight="1">
      <c r="B16" s="118"/>
      <c r="C16" s="48" t="s">
        <v>136</v>
      </c>
      <c r="D16" s="358">
        <v>3570300</v>
      </c>
      <c r="E16" s="359"/>
    </row>
    <row r="17" spans="2:9" ht="17.25" customHeight="1" hidden="1">
      <c r="B17" s="25"/>
      <c r="C17" s="59" t="s">
        <v>174</v>
      </c>
      <c r="D17" s="351">
        <f>260354.81*12</f>
        <v>3124257.7199999997</v>
      </c>
      <c r="E17" s="352"/>
      <c r="F17" s="12" t="s">
        <v>171</v>
      </c>
      <c r="I17" s="85"/>
    </row>
    <row r="18" spans="2:5" ht="12.75" hidden="1">
      <c r="B18" s="25"/>
      <c r="C18" s="59" t="s">
        <v>172</v>
      </c>
      <c r="D18" s="356">
        <v>109314.7</v>
      </c>
      <c r="E18" s="357"/>
    </row>
    <row r="19" spans="2:9" ht="12.75">
      <c r="B19" s="25"/>
      <c r="C19" s="119" t="s">
        <v>173</v>
      </c>
      <c r="D19" s="348">
        <v>998200</v>
      </c>
      <c r="E19" s="349"/>
      <c r="H19" s="12">
        <v>997495</v>
      </c>
      <c r="I19" s="85">
        <f>H19-D20-D21-D22</f>
        <v>0</v>
      </c>
    </row>
    <row r="20" spans="2:5" ht="12.75" customHeight="1" hidden="1">
      <c r="B20" s="25"/>
      <c r="C20" s="59" t="s">
        <v>200</v>
      </c>
      <c r="D20" s="337">
        <f>72607.31*4</f>
        <v>290429.24</v>
      </c>
      <c r="E20" s="337"/>
    </row>
    <row r="21" spans="2:5" ht="12.75" customHeight="1" hidden="1">
      <c r="B21" s="25"/>
      <c r="C21" s="59" t="s">
        <v>201</v>
      </c>
      <c r="D21" s="342">
        <f>82651.31*8</f>
        <v>661210.48</v>
      </c>
      <c r="E21" s="342"/>
    </row>
    <row r="22" spans="2:5" ht="12.75" customHeight="1" hidden="1">
      <c r="B22" s="25"/>
      <c r="C22" s="59" t="s">
        <v>105</v>
      </c>
      <c r="D22" s="337">
        <v>45855.28</v>
      </c>
      <c r="E22" s="337"/>
    </row>
    <row r="25" spans="2:4" ht="12.75">
      <c r="B25" s="341" t="s">
        <v>65</v>
      </c>
      <c r="C25" s="341"/>
      <c r="D25" s="341"/>
    </row>
    <row r="27" spans="2:7" ht="57" customHeight="1">
      <c r="B27" s="22" t="s">
        <v>60</v>
      </c>
      <c r="C27" s="52" t="s">
        <v>61</v>
      </c>
      <c r="D27" s="22" t="s">
        <v>66</v>
      </c>
      <c r="E27" s="22" t="s">
        <v>67</v>
      </c>
      <c r="F27" s="22" t="s">
        <v>68</v>
      </c>
      <c r="G27" s="23" t="s">
        <v>110</v>
      </c>
    </row>
    <row r="28" spans="2:7" ht="12.75">
      <c r="B28" s="17">
        <v>1</v>
      </c>
      <c r="C28" s="47">
        <v>2</v>
      </c>
      <c r="D28" s="17">
        <v>3</v>
      </c>
      <c r="E28" s="49">
        <v>4</v>
      </c>
      <c r="F28" s="23">
        <v>5</v>
      </c>
      <c r="G28" s="49">
        <v>6</v>
      </c>
    </row>
    <row r="29" spans="2:7" ht="13.5" customHeight="1">
      <c r="B29" s="25">
        <v>1</v>
      </c>
      <c r="C29" s="44" t="s">
        <v>69</v>
      </c>
      <c r="D29" s="17"/>
      <c r="E29" s="34"/>
      <c r="F29" s="22"/>
      <c r="G29" s="34"/>
    </row>
    <row r="30" spans="2:7" ht="24" customHeight="1">
      <c r="B30" s="25">
        <v>1</v>
      </c>
      <c r="C30" s="44" t="s">
        <v>244</v>
      </c>
      <c r="D30" s="17">
        <v>1</v>
      </c>
      <c r="E30" s="34">
        <v>12</v>
      </c>
      <c r="F30" s="22">
        <v>50</v>
      </c>
      <c r="G30" s="34">
        <f>D30*E30*F30</f>
        <v>600</v>
      </c>
    </row>
    <row r="31" spans="2:7" ht="12.75" customHeight="1">
      <c r="B31" s="25"/>
      <c r="C31" s="53" t="s">
        <v>2</v>
      </c>
      <c r="D31" s="38"/>
      <c r="E31" s="34"/>
      <c r="F31" s="22"/>
      <c r="G31" s="78">
        <f>G30</f>
        <v>600</v>
      </c>
    </row>
    <row r="32" spans="2:7" ht="12.75">
      <c r="B32" s="24"/>
      <c r="C32" s="24"/>
      <c r="D32" s="24"/>
      <c r="G32" s="105"/>
    </row>
    <row r="33" spans="2:7" ht="12.75" customHeight="1">
      <c r="B33" s="340" t="s">
        <v>114</v>
      </c>
      <c r="C33" s="340"/>
      <c r="D33" s="340"/>
      <c r="E33" s="340"/>
      <c r="F33" s="340"/>
      <c r="G33" s="340"/>
    </row>
    <row r="34" spans="2:4" ht="25.5" customHeight="1">
      <c r="B34" s="24"/>
      <c r="C34" s="24"/>
      <c r="D34" s="24"/>
    </row>
    <row r="35" spans="2:5" ht="21.75" customHeight="1">
      <c r="B35" s="22" t="s">
        <v>60</v>
      </c>
      <c r="C35" s="23" t="s">
        <v>61</v>
      </c>
      <c r="D35" s="339" t="s">
        <v>62</v>
      </c>
      <c r="E35" s="339"/>
    </row>
    <row r="36" spans="2:5" ht="12.75">
      <c r="B36" s="23">
        <v>1</v>
      </c>
      <c r="C36" s="23">
        <v>2</v>
      </c>
      <c r="D36" s="339">
        <v>3</v>
      </c>
      <c r="E36" s="339"/>
    </row>
    <row r="37" spans="2:6" ht="18" customHeight="1">
      <c r="B37" s="25">
        <v>1</v>
      </c>
      <c r="C37" s="44" t="s">
        <v>70</v>
      </c>
      <c r="D37" s="336">
        <f>D38</f>
        <v>1379630</v>
      </c>
      <c r="E37" s="336"/>
      <c r="F37" s="33"/>
    </row>
    <row r="38" spans="2:10" ht="12.75" customHeight="1">
      <c r="B38" s="25"/>
      <c r="C38" s="48" t="s">
        <v>71</v>
      </c>
      <c r="D38" s="335">
        <f>D39+D40</f>
        <v>1379630</v>
      </c>
      <c r="E38" s="335"/>
      <c r="F38" s="33"/>
      <c r="I38" s="12">
        <v>491290</v>
      </c>
      <c r="J38" s="12">
        <f>I38-D38</f>
        <v>-888340</v>
      </c>
    </row>
    <row r="39" spans="2:9" ht="12.75" customHeight="1">
      <c r="B39" s="25"/>
      <c r="C39" s="44" t="s">
        <v>136</v>
      </c>
      <c r="D39" s="353">
        <v>1078230</v>
      </c>
      <c r="E39" s="353"/>
      <c r="F39" s="33" t="s">
        <v>171</v>
      </c>
      <c r="I39" s="12">
        <f>D15*3.1/100</f>
        <v>141623.5</v>
      </c>
    </row>
    <row r="40" spans="2:9" ht="12.75" customHeight="1">
      <c r="B40" s="25"/>
      <c r="C40" s="44" t="s">
        <v>137</v>
      </c>
      <c r="D40" s="353">
        <v>301400</v>
      </c>
      <c r="E40" s="353"/>
      <c r="F40" s="33"/>
      <c r="I40" s="12">
        <f>D15*27.1/100</f>
        <v>1238063.5</v>
      </c>
    </row>
    <row r="41" spans="2:4" ht="12.75">
      <c r="B41" s="26"/>
      <c r="C41" s="27"/>
      <c r="D41" s="13"/>
    </row>
    <row r="42" spans="2:4" ht="12.75">
      <c r="B42" s="26"/>
      <c r="C42" s="27"/>
      <c r="D42" s="13"/>
    </row>
    <row r="43" spans="2:7" ht="27.75" customHeight="1">
      <c r="B43" s="340" t="s">
        <v>245</v>
      </c>
      <c r="C43" s="340"/>
      <c r="D43" s="340"/>
      <c r="E43" s="340"/>
      <c r="F43" s="340"/>
      <c r="G43" s="340"/>
    </row>
    <row r="44" spans="2:4" ht="12.75">
      <c r="B44" s="24"/>
      <c r="C44" s="24"/>
      <c r="D44" s="24"/>
    </row>
    <row r="45" spans="2:4" ht="40.5" customHeight="1">
      <c r="B45" s="22" t="s">
        <v>60</v>
      </c>
      <c r="C45" s="23" t="s">
        <v>61</v>
      </c>
      <c r="D45" s="23" t="s">
        <v>62</v>
      </c>
    </row>
    <row r="46" spans="2:6" ht="12.75">
      <c r="B46" s="17">
        <v>1</v>
      </c>
      <c r="C46" s="17">
        <v>2</v>
      </c>
      <c r="D46" s="17">
        <v>4</v>
      </c>
      <c r="E46" s="343"/>
      <c r="F46" s="334"/>
    </row>
    <row r="47" spans="2:9" ht="24.75" customHeight="1">
      <c r="B47" s="113">
        <v>1</v>
      </c>
      <c r="C47" s="44" t="s">
        <v>138</v>
      </c>
      <c r="D47" s="45">
        <v>103920</v>
      </c>
      <c r="F47" s="344"/>
      <c r="G47" s="344"/>
      <c r="H47" s="12">
        <v>990610</v>
      </c>
      <c r="I47" s="85">
        <f>H47-D47</f>
        <v>886690</v>
      </c>
    </row>
    <row r="48" spans="2:4" ht="12.75">
      <c r="B48" s="25"/>
      <c r="C48" s="44"/>
      <c r="D48" s="56"/>
    </row>
    <row r="49" spans="2:4" ht="12.75" customHeight="1">
      <c r="B49" s="25"/>
      <c r="C49" s="53" t="s">
        <v>2</v>
      </c>
      <c r="D49" s="55">
        <f>D47</f>
        <v>103920</v>
      </c>
    </row>
    <row r="50" spans="2:4" ht="12.75">
      <c r="B50" s="26"/>
      <c r="C50" s="27"/>
      <c r="D50" s="13"/>
    </row>
    <row r="51" spans="2:4" ht="12.75">
      <c r="B51" s="26"/>
      <c r="C51" s="27"/>
      <c r="D51" s="13"/>
    </row>
    <row r="52" spans="2:4" ht="12.75">
      <c r="B52" s="26"/>
      <c r="C52" s="27"/>
      <c r="D52" s="13"/>
    </row>
    <row r="53" spans="2:4" ht="12.75">
      <c r="B53" s="350" t="s">
        <v>235</v>
      </c>
      <c r="C53" s="350"/>
      <c r="D53" s="87">
        <f>D14+D37+D49+G31</f>
        <v>6052650</v>
      </c>
    </row>
    <row r="54" spans="2:4" ht="12.75">
      <c r="B54" s="26"/>
      <c r="C54" s="27"/>
      <c r="D54" s="13"/>
    </row>
    <row r="55" spans="2:4" ht="12.75">
      <c r="B55" s="12" t="s">
        <v>85</v>
      </c>
      <c r="D55" s="12" t="s">
        <v>1</v>
      </c>
    </row>
    <row r="57" spans="2:4" ht="12.75">
      <c r="B57" s="12" t="s">
        <v>86</v>
      </c>
      <c r="D57" s="12" t="s">
        <v>56</v>
      </c>
    </row>
  </sheetData>
  <sheetProtection/>
  <mergeCells count="28">
    <mergeCell ref="B43:G43"/>
    <mergeCell ref="E46:F46"/>
    <mergeCell ref="F47:G47"/>
    <mergeCell ref="D1:G1"/>
    <mergeCell ref="D2:G2"/>
    <mergeCell ref="B7:D7"/>
    <mergeCell ref="B8:D8"/>
    <mergeCell ref="B10:D10"/>
    <mergeCell ref="D12:E12"/>
    <mergeCell ref="D39:E39"/>
    <mergeCell ref="D22:E22"/>
    <mergeCell ref="B33:G33"/>
    <mergeCell ref="D13:E13"/>
    <mergeCell ref="D14:E14"/>
    <mergeCell ref="D15:E15"/>
    <mergeCell ref="D20:E20"/>
    <mergeCell ref="D18:E18"/>
    <mergeCell ref="D16:E16"/>
    <mergeCell ref="D19:E19"/>
    <mergeCell ref="B53:C53"/>
    <mergeCell ref="D17:E17"/>
    <mergeCell ref="D35:E35"/>
    <mergeCell ref="D36:E36"/>
    <mergeCell ref="D37:E37"/>
    <mergeCell ref="D38:E38"/>
    <mergeCell ref="D21:E21"/>
    <mergeCell ref="D40:E40"/>
    <mergeCell ref="B25:D25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B1:J57"/>
  <sheetViews>
    <sheetView showGridLines="0" zoomScalePageLayoutView="0" workbookViewId="0" topLeftCell="A16">
      <selection activeCell="D53" sqref="D53"/>
    </sheetView>
  </sheetViews>
  <sheetFormatPr defaultColWidth="9.140625" defaultRowHeight="12.75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0.28125" style="12" customWidth="1"/>
    <col min="8" max="8" width="9.140625" style="12" customWidth="1"/>
    <col min="9" max="9" width="11.710937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8.5" customHeight="1">
      <c r="E3" s="12" t="s">
        <v>237</v>
      </c>
    </row>
    <row r="4" ht="14.25" customHeight="1"/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197</v>
      </c>
      <c r="C8" s="334"/>
      <c r="D8" s="334"/>
    </row>
    <row r="9" ht="6.75" customHeight="1"/>
    <row r="10" spans="2:4" ht="12.75">
      <c r="B10" s="341" t="s">
        <v>59</v>
      </c>
      <c r="C10" s="341"/>
      <c r="D10" s="341"/>
    </row>
    <row r="11" ht="13.5" customHeight="1"/>
    <row r="12" spans="2:5" ht="23.25" customHeight="1">
      <c r="B12" s="22" t="s">
        <v>60</v>
      </c>
      <c r="C12" s="23" t="s">
        <v>61</v>
      </c>
      <c r="D12" s="339" t="s">
        <v>62</v>
      </c>
      <c r="E12" s="339"/>
    </row>
    <row r="13" spans="2:5" ht="12.75">
      <c r="B13" s="25">
        <v>1</v>
      </c>
      <c r="C13" s="17">
        <v>2</v>
      </c>
      <c r="D13" s="338">
        <v>3</v>
      </c>
      <c r="E13" s="338"/>
    </row>
    <row r="14" spans="2:5" ht="12.75" customHeight="1">
      <c r="B14" s="25">
        <v>1</v>
      </c>
      <c r="C14" s="17" t="s">
        <v>33</v>
      </c>
      <c r="D14" s="354">
        <f>D15</f>
        <v>4568500</v>
      </c>
      <c r="E14" s="354"/>
    </row>
    <row r="15" spans="2:5" ht="12.75" customHeight="1">
      <c r="B15" s="25"/>
      <c r="C15" s="44" t="s">
        <v>63</v>
      </c>
      <c r="D15" s="355">
        <f>D16+D19</f>
        <v>4568500</v>
      </c>
      <c r="E15" s="355"/>
    </row>
    <row r="16" spans="2:5" ht="12.75" customHeight="1">
      <c r="B16" s="118"/>
      <c r="C16" s="48" t="s">
        <v>136</v>
      </c>
      <c r="D16" s="358">
        <v>3570300</v>
      </c>
      <c r="E16" s="359"/>
    </row>
    <row r="17" spans="2:9" ht="17.25" customHeight="1" hidden="1">
      <c r="B17" s="25"/>
      <c r="C17" s="59" t="s">
        <v>174</v>
      </c>
      <c r="D17" s="351">
        <f>260354.81*12</f>
        <v>3124257.7199999997</v>
      </c>
      <c r="E17" s="352"/>
      <c r="F17" s="12" t="s">
        <v>171</v>
      </c>
      <c r="I17" s="85"/>
    </row>
    <row r="18" spans="2:5" ht="12.75" hidden="1">
      <c r="B18" s="25"/>
      <c r="C18" s="59" t="s">
        <v>172</v>
      </c>
      <c r="D18" s="356">
        <v>109314.7</v>
      </c>
      <c r="E18" s="357"/>
    </row>
    <row r="19" spans="2:9" ht="12.75">
      <c r="B19" s="25"/>
      <c r="C19" s="119" t="s">
        <v>173</v>
      </c>
      <c r="D19" s="348">
        <v>998200</v>
      </c>
      <c r="E19" s="349"/>
      <c r="H19" s="12">
        <v>997495</v>
      </c>
      <c r="I19" s="85">
        <f>H19-D20-D21-D22</f>
        <v>0</v>
      </c>
    </row>
    <row r="20" spans="2:5" ht="12.75" customHeight="1" hidden="1">
      <c r="B20" s="25"/>
      <c r="C20" s="59" t="s">
        <v>200</v>
      </c>
      <c r="D20" s="337">
        <f>72607.31*4</f>
        <v>290429.24</v>
      </c>
      <c r="E20" s="337"/>
    </row>
    <row r="21" spans="2:5" ht="12.75" customHeight="1" hidden="1">
      <c r="B21" s="25"/>
      <c r="C21" s="59" t="s">
        <v>201</v>
      </c>
      <c r="D21" s="342">
        <f>82651.31*8</f>
        <v>661210.48</v>
      </c>
      <c r="E21" s="342"/>
    </row>
    <row r="22" spans="2:5" ht="12.75" customHeight="1" hidden="1">
      <c r="B22" s="25"/>
      <c r="C22" s="59" t="s">
        <v>105</v>
      </c>
      <c r="D22" s="337">
        <v>45855.28</v>
      </c>
      <c r="E22" s="337"/>
    </row>
    <row r="25" spans="2:4" ht="12.75">
      <c r="B25" s="341" t="s">
        <v>65</v>
      </c>
      <c r="C25" s="341"/>
      <c r="D25" s="341"/>
    </row>
    <row r="27" spans="2:7" ht="57" customHeight="1">
      <c r="B27" s="22" t="s">
        <v>60</v>
      </c>
      <c r="C27" s="52" t="s">
        <v>61</v>
      </c>
      <c r="D27" s="22" t="s">
        <v>66</v>
      </c>
      <c r="E27" s="22" t="s">
        <v>67</v>
      </c>
      <c r="F27" s="22" t="s">
        <v>68</v>
      </c>
      <c r="G27" s="23" t="s">
        <v>110</v>
      </c>
    </row>
    <row r="28" spans="2:7" ht="12.75">
      <c r="B28" s="17">
        <v>1</v>
      </c>
      <c r="C28" s="47">
        <v>2</v>
      </c>
      <c r="D28" s="17">
        <v>3</v>
      </c>
      <c r="E28" s="49">
        <v>4</v>
      </c>
      <c r="F28" s="23">
        <v>5</v>
      </c>
      <c r="G28" s="49">
        <v>6</v>
      </c>
    </row>
    <row r="29" spans="2:7" ht="13.5" customHeight="1">
      <c r="B29" s="25">
        <v>1</v>
      </c>
      <c r="C29" s="44" t="s">
        <v>69</v>
      </c>
      <c r="D29" s="17"/>
      <c r="E29" s="34"/>
      <c r="F29" s="22"/>
      <c r="G29" s="34"/>
    </row>
    <row r="30" spans="2:7" ht="24" customHeight="1">
      <c r="B30" s="25">
        <v>1</v>
      </c>
      <c r="C30" s="44" t="s">
        <v>244</v>
      </c>
      <c r="D30" s="17">
        <v>1</v>
      </c>
      <c r="E30" s="34">
        <v>12</v>
      </c>
      <c r="F30" s="22">
        <v>50</v>
      </c>
      <c r="G30" s="34">
        <f>D30*E30*F30</f>
        <v>600</v>
      </c>
    </row>
    <row r="31" spans="2:7" ht="12.75" customHeight="1">
      <c r="B31" s="25"/>
      <c r="C31" s="53" t="s">
        <v>2</v>
      </c>
      <c r="D31" s="38"/>
      <c r="E31" s="34"/>
      <c r="F31" s="22"/>
      <c r="G31" s="78">
        <f>G30</f>
        <v>600</v>
      </c>
    </row>
    <row r="32" spans="2:7" ht="12.75">
      <c r="B32" s="24"/>
      <c r="C32" s="24"/>
      <c r="D32" s="24"/>
      <c r="G32" s="105"/>
    </row>
    <row r="33" spans="2:7" ht="12.75" customHeight="1">
      <c r="B33" s="340" t="s">
        <v>114</v>
      </c>
      <c r="C33" s="340"/>
      <c r="D33" s="340"/>
      <c r="E33" s="340"/>
      <c r="F33" s="340"/>
      <c r="G33" s="340"/>
    </row>
    <row r="34" spans="2:4" ht="25.5" customHeight="1">
      <c r="B34" s="24"/>
      <c r="C34" s="24"/>
      <c r="D34" s="24"/>
    </row>
    <row r="35" spans="2:5" ht="21.75" customHeight="1">
      <c r="B35" s="22" t="s">
        <v>60</v>
      </c>
      <c r="C35" s="23" t="s">
        <v>61</v>
      </c>
      <c r="D35" s="339" t="s">
        <v>62</v>
      </c>
      <c r="E35" s="339"/>
    </row>
    <row r="36" spans="2:5" ht="12.75">
      <c r="B36" s="23">
        <v>1</v>
      </c>
      <c r="C36" s="23">
        <v>2</v>
      </c>
      <c r="D36" s="339">
        <v>3</v>
      </c>
      <c r="E36" s="339"/>
    </row>
    <row r="37" spans="2:6" ht="18" customHeight="1">
      <c r="B37" s="25">
        <v>1</v>
      </c>
      <c r="C37" s="44" t="s">
        <v>70</v>
      </c>
      <c r="D37" s="336">
        <f>D38</f>
        <v>1379630</v>
      </c>
      <c r="E37" s="336"/>
      <c r="F37" s="33"/>
    </row>
    <row r="38" spans="2:10" ht="12.75" customHeight="1">
      <c r="B38" s="25"/>
      <c r="C38" s="48" t="s">
        <v>71</v>
      </c>
      <c r="D38" s="335">
        <f>D39+D40</f>
        <v>1379630</v>
      </c>
      <c r="E38" s="335"/>
      <c r="F38" s="33"/>
      <c r="I38" s="12">
        <v>491290</v>
      </c>
      <c r="J38" s="12">
        <f>I38-D38</f>
        <v>-888340</v>
      </c>
    </row>
    <row r="39" spans="2:9" ht="12.75" customHeight="1">
      <c r="B39" s="25"/>
      <c r="C39" s="44" t="s">
        <v>136</v>
      </c>
      <c r="D39" s="353">
        <v>1078230</v>
      </c>
      <c r="E39" s="353"/>
      <c r="F39" s="33" t="s">
        <v>171</v>
      </c>
      <c r="I39" s="12">
        <f>D15*3.1/100</f>
        <v>141623.5</v>
      </c>
    </row>
    <row r="40" spans="2:9" ht="12.75" customHeight="1">
      <c r="B40" s="25"/>
      <c r="C40" s="44" t="s">
        <v>137</v>
      </c>
      <c r="D40" s="353">
        <v>301400</v>
      </c>
      <c r="E40" s="353"/>
      <c r="F40" s="33"/>
      <c r="I40" s="12">
        <f>D15*27.1/100</f>
        <v>1238063.5</v>
      </c>
    </row>
    <row r="41" spans="2:4" ht="12.75">
      <c r="B41" s="26"/>
      <c r="C41" s="27"/>
      <c r="D41" s="13"/>
    </row>
    <row r="42" spans="2:4" ht="12.75">
      <c r="B42" s="26"/>
      <c r="C42" s="27"/>
      <c r="D42" s="13"/>
    </row>
    <row r="43" spans="2:7" ht="27.75" customHeight="1">
      <c r="B43" s="340" t="s">
        <v>245</v>
      </c>
      <c r="C43" s="340"/>
      <c r="D43" s="340"/>
      <c r="E43" s="340"/>
      <c r="F43" s="340"/>
      <c r="G43" s="340"/>
    </row>
    <row r="44" spans="2:4" ht="12.75">
      <c r="B44" s="24"/>
      <c r="C44" s="24"/>
      <c r="D44" s="24"/>
    </row>
    <row r="45" spans="2:4" ht="40.5" customHeight="1">
      <c r="B45" s="22" t="s">
        <v>60</v>
      </c>
      <c r="C45" s="23" t="s">
        <v>61</v>
      </c>
      <c r="D45" s="23" t="s">
        <v>62</v>
      </c>
    </row>
    <row r="46" spans="2:6" ht="12.75">
      <c r="B46" s="17">
        <v>1</v>
      </c>
      <c r="C46" s="17">
        <v>2</v>
      </c>
      <c r="D46" s="17">
        <v>4</v>
      </c>
      <c r="E46" s="343"/>
      <c r="F46" s="334"/>
    </row>
    <row r="47" spans="2:9" ht="24.75" customHeight="1">
      <c r="B47" s="113">
        <v>1</v>
      </c>
      <c r="C47" s="44" t="s">
        <v>138</v>
      </c>
      <c r="D47" s="45">
        <v>156080</v>
      </c>
      <c r="F47" s="344"/>
      <c r="G47" s="344"/>
      <c r="H47" s="12">
        <v>990610</v>
      </c>
      <c r="I47" s="85">
        <f>H47-D47</f>
        <v>834530</v>
      </c>
    </row>
    <row r="48" spans="2:4" ht="12.75">
      <c r="B48" s="25"/>
      <c r="C48" s="44"/>
      <c r="D48" s="56"/>
    </row>
    <row r="49" spans="2:4" ht="12.75" customHeight="1">
      <c r="B49" s="25"/>
      <c r="C49" s="53" t="s">
        <v>2</v>
      </c>
      <c r="D49" s="55">
        <f>D47</f>
        <v>156080</v>
      </c>
    </row>
    <row r="50" spans="2:4" ht="12.75">
      <c r="B50" s="26"/>
      <c r="C50" s="27"/>
      <c r="D50" s="13"/>
    </row>
    <row r="51" spans="2:4" ht="12.75">
      <c r="B51" s="26"/>
      <c r="C51" s="27"/>
      <c r="D51" s="13"/>
    </row>
    <row r="52" spans="2:4" ht="12.75">
      <c r="B52" s="26"/>
      <c r="C52" s="27"/>
      <c r="D52" s="13"/>
    </row>
    <row r="53" spans="2:4" ht="12.75">
      <c r="B53" s="350" t="s">
        <v>240</v>
      </c>
      <c r="C53" s="350"/>
      <c r="D53" s="87">
        <f>D14+D37+D49+G31</f>
        <v>6104810</v>
      </c>
    </row>
    <row r="54" spans="2:4" ht="12.75">
      <c r="B54" s="26"/>
      <c r="C54" s="27"/>
      <c r="D54" s="13"/>
    </row>
    <row r="55" spans="2:4" ht="12.75">
      <c r="B55" s="12" t="s">
        <v>85</v>
      </c>
      <c r="D55" s="12" t="s">
        <v>1</v>
      </c>
    </row>
    <row r="57" spans="2:4" ht="12.75">
      <c r="B57" s="12" t="s">
        <v>86</v>
      </c>
      <c r="D57" s="12" t="s">
        <v>56</v>
      </c>
    </row>
  </sheetData>
  <sheetProtection/>
  <mergeCells count="28">
    <mergeCell ref="F47:G47"/>
    <mergeCell ref="B53:C53"/>
    <mergeCell ref="D35:E35"/>
    <mergeCell ref="D36:E36"/>
    <mergeCell ref="D37:E37"/>
    <mergeCell ref="D38:E38"/>
    <mergeCell ref="D39:E39"/>
    <mergeCell ref="D40:E40"/>
    <mergeCell ref="B25:D25"/>
    <mergeCell ref="B33:G33"/>
    <mergeCell ref="B43:G43"/>
    <mergeCell ref="E46:F46"/>
    <mergeCell ref="D19:E19"/>
    <mergeCell ref="D20:E20"/>
    <mergeCell ref="D21:E21"/>
    <mergeCell ref="D22:E22"/>
    <mergeCell ref="D15:E15"/>
    <mergeCell ref="D16:E16"/>
    <mergeCell ref="D17:E17"/>
    <mergeCell ref="D18:E18"/>
    <mergeCell ref="B10:D10"/>
    <mergeCell ref="D12:E12"/>
    <mergeCell ref="D13:E13"/>
    <mergeCell ref="D14:E14"/>
    <mergeCell ref="D1:G1"/>
    <mergeCell ref="D2:G2"/>
    <mergeCell ref="B7:D7"/>
    <mergeCell ref="B8:D8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B1:J57"/>
  <sheetViews>
    <sheetView showGridLines="0" zoomScalePageLayoutView="0" workbookViewId="0" topLeftCell="A16">
      <selection activeCell="D1" sqref="D1:G3"/>
    </sheetView>
  </sheetViews>
  <sheetFormatPr defaultColWidth="9.140625" defaultRowHeight="12.75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0.28125" style="12" customWidth="1"/>
    <col min="8" max="8" width="9.140625" style="12" customWidth="1"/>
    <col min="9" max="9" width="11.710937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8.5" customHeight="1">
      <c r="E3" s="12" t="s">
        <v>237</v>
      </c>
    </row>
    <row r="4" ht="14.25" customHeight="1"/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241</v>
      </c>
      <c r="C8" s="334"/>
      <c r="D8" s="334"/>
    </row>
    <row r="9" ht="6.75" customHeight="1"/>
    <row r="10" spans="2:4" ht="12.75">
      <c r="B10" s="341" t="s">
        <v>59</v>
      </c>
      <c r="C10" s="341"/>
      <c r="D10" s="341"/>
    </row>
    <row r="11" ht="13.5" customHeight="1"/>
    <row r="12" spans="2:5" ht="23.25" customHeight="1">
      <c r="B12" s="22" t="s">
        <v>60</v>
      </c>
      <c r="C12" s="23" t="s">
        <v>61</v>
      </c>
      <c r="D12" s="339" t="s">
        <v>62</v>
      </c>
      <c r="E12" s="339"/>
    </row>
    <row r="13" spans="2:5" ht="12.75">
      <c r="B13" s="25">
        <v>1</v>
      </c>
      <c r="C13" s="17">
        <v>2</v>
      </c>
      <c r="D13" s="338">
        <v>3</v>
      </c>
      <c r="E13" s="338"/>
    </row>
    <row r="14" spans="2:5" ht="12.75" customHeight="1">
      <c r="B14" s="25">
        <v>1</v>
      </c>
      <c r="C14" s="17" t="s">
        <v>33</v>
      </c>
      <c r="D14" s="354">
        <f>D15</f>
        <v>4620920</v>
      </c>
      <c r="E14" s="354"/>
    </row>
    <row r="15" spans="2:5" ht="12.75" customHeight="1">
      <c r="B15" s="25"/>
      <c r="C15" s="44" t="s">
        <v>63</v>
      </c>
      <c r="D15" s="355">
        <f>D16+D19</f>
        <v>4620920</v>
      </c>
      <c r="E15" s="355"/>
    </row>
    <row r="16" spans="2:5" ht="12.75" customHeight="1">
      <c r="B16" s="118"/>
      <c r="C16" s="48" t="s">
        <v>136</v>
      </c>
      <c r="D16" s="358">
        <v>3611420</v>
      </c>
      <c r="E16" s="359"/>
    </row>
    <row r="17" spans="2:9" ht="17.25" customHeight="1" hidden="1">
      <c r="B17" s="25"/>
      <c r="C17" s="59" t="s">
        <v>174</v>
      </c>
      <c r="D17" s="351">
        <f>260354.81*12</f>
        <v>3124257.7199999997</v>
      </c>
      <c r="E17" s="352"/>
      <c r="F17" s="12" t="s">
        <v>171</v>
      </c>
      <c r="I17" s="85"/>
    </row>
    <row r="18" spans="2:5" ht="12.75" hidden="1">
      <c r="B18" s="25"/>
      <c r="C18" s="59" t="s">
        <v>172</v>
      </c>
      <c r="D18" s="356">
        <v>109314.7</v>
      </c>
      <c r="E18" s="357"/>
    </row>
    <row r="19" spans="2:9" ht="12.75">
      <c r="B19" s="25"/>
      <c r="C19" s="119" t="s">
        <v>173</v>
      </c>
      <c r="D19" s="348">
        <v>1009500</v>
      </c>
      <c r="E19" s="349"/>
      <c r="H19" s="12">
        <v>997495</v>
      </c>
      <c r="I19" s="85">
        <f>H19-D20-D21-D22</f>
        <v>0</v>
      </c>
    </row>
    <row r="20" spans="2:5" ht="12.75" customHeight="1" hidden="1">
      <c r="B20" s="25"/>
      <c r="C20" s="59" t="s">
        <v>200</v>
      </c>
      <c r="D20" s="337">
        <f>72607.31*4</f>
        <v>290429.24</v>
      </c>
      <c r="E20" s="337"/>
    </row>
    <row r="21" spans="2:5" ht="12.75" customHeight="1" hidden="1">
      <c r="B21" s="25"/>
      <c r="C21" s="59" t="s">
        <v>201</v>
      </c>
      <c r="D21" s="342">
        <f>82651.31*8</f>
        <v>661210.48</v>
      </c>
      <c r="E21" s="342"/>
    </row>
    <row r="22" spans="2:5" ht="12.75" customHeight="1" hidden="1">
      <c r="B22" s="25"/>
      <c r="C22" s="59" t="s">
        <v>105</v>
      </c>
      <c r="D22" s="337">
        <v>45855.28</v>
      </c>
      <c r="E22" s="337"/>
    </row>
    <row r="25" spans="2:4" ht="12.75">
      <c r="B25" s="341" t="s">
        <v>65</v>
      </c>
      <c r="C25" s="341"/>
      <c r="D25" s="341"/>
    </row>
    <row r="27" spans="2:7" ht="57" customHeight="1">
      <c r="B27" s="22" t="s">
        <v>60</v>
      </c>
      <c r="C27" s="52" t="s">
        <v>61</v>
      </c>
      <c r="D27" s="22" t="s">
        <v>66</v>
      </c>
      <c r="E27" s="22" t="s">
        <v>67</v>
      </c>
      <c r="F27" s="22" t="s">
        <v>68</v>
      </c>
      <c r="G27" s="23" t="s">
        <v>110</v>
      </c>
    </row>
    <row r="28" spans="2:7" ht="12.75">
      <c r="B28" s="17">
        <v>1</v>
      </c>
      <c r="C28" s="47">
        <v>2</v>
      </c>
      <c r="D28" s="17">
        <v>3</v>
      </c>
      <c r="E28" s="49">
        <v>4</v>
      </c>
      <c r="F28" s="23">
        <v>5</v>
      </c>
      <c r="G28" s="49">
        <v>6</v>
      </c>
    </row>
    <row r="29" spans="2:7" ht="13.5" customHeight="1">
      <c r="B29" s="25">
        <v>1</v>
      </c>
      <c r="C29" s="44" t="s">
        <v>69</v>
      </c>
      <c r="D29" s="17"/>
      <c r="E29" s="34"/>
      <c r="F29" s="22"/>
      <c r="G29" s="34"/>
    </row>
    <row r="30" spans="2:7" ht="24" customHeight="1">
      <c r="B30" s="25">
        <v>1</v>
      </c>
      <c r="C30" s="44" t="s">
        <v>244</v>
      </c>
      <c r="D30" s="17">
        <v>1</v>
      </c>
      <c r="E30" s="34">
        <v>12</v>
      </c>
      <c r="F30" s="22">
        <v>50</v>
      </c>
      <c r="G30" s="34"/>
    </row>
    <row r="31" spans="2:7" ht="12.75" customHeight="1">
      <c r="B31" s="25"/>
      <c r="C31" s="53" t="s">
        <v>2</v>
      </c>
      <c r="D31" s="38"/>
      <c r="E31" s="34"/>
      <c r="F31" s="22"/>
      <c r="G31" s="78">
        <f>G30</f>
        <v>0</v>
      </c>
    </row>
    <row r="32" spans="2:7" ht="12.75">
      <c r="B32" s="24"/>
      <c r="C32" s="24"/>
      <c r="D32" s="24"/>
      <c r="G32" s="105"/>
    </row>
    <row r="33" spans="2:7" ht="12.75" customHeight="1">
      <c r="B33" s="340" t="s">
        <v>114</v>
      </c>
      <c r="C33" s="340"/>
      <c r="D33" s="340"/>
      <c r="E33" s="340"/>
      <c r="F33" s="340"/>
      <c r="G33" s="340"/>
    </row>
    <row r="34" spans="2:4" ht="25.5" customHeight="1">
      <c r="B34" s="24"/>
      <c r="C34" s="24"/>
      <c r="D34" s="24"/>
    </row>
    <row r="35" spans="2:5" ht="21.75" customHeight="1">
      <c r="B35" s="22" t="s">
        <v>60</v>
      </c>
      <c r="C35" s="23" t="s">
        <v>61</v>
      </c>
      <c r="D35" s="339" t="s">
        <v>62</v>
      </c>
      <c r="E35" s="339"/>
    </row>
    <row r="36" spans="2:5" ht="12.75">
      <c r="B36" s="23">
        <v>1</v>
      </c>
      <c r="C36" s="23">
        <v>2</v>
      </c>
      <c r="D36" s="339">
        <v>3</v>
      </c>
      <c r="E36" s="339"/>
    </row>
    <row r="37" spans="2:6" ht="18" customHeight="1">
      <c r="B37" s="25">
        <v>1</v>
      </c>
      <c r="C37" s="44" t="s">
        <v>70</v>
      </c>
      <c r="D37" s="336">
        <f>D38</f>
        <v>1395530</v>
      </c>
      <c r="E37" s="336"/>
      <c r="F37" s="33"/>
    </row>
    <row r="38" spans="2:10" ht="12.75" customHeight="1">
      <c r="B38" s="25"/>
      <c r="C38" s="48" t="s">
        <v>71</v>
      </c>
      <c r="D38" s="335">
        <f>D39+D40</f>
        <v>1395530</v>
      </c>
      <c r="E38" s="335"/>
      <c r="F38" s="33"/>
      <c r="I38" s="12">
        <v>491290</v>
      </c>
      <c r="J38" s="12">
        <f>I38-D38</f>
        <v>-904240</v>
      </c>
    </row>
    <row r="39" spans="2:9" ht="12.75" customHeight="1">
      <c r="B39" s="25"/>
      <c r="C39" s="44" t="s">
        <v>136</v>
      </c>
      <c r="D39" s="353">
        <v>1090650</v>
      </c>
      <c r="E39" s="353"/>
      <c r="F39" s="33" t="s">
        <v>171</v>
      </c>
      <c r="I39" s="12">
        <f>D15*3.1/100</f>
        <v>143248.52</v>
      </c>
    </row>
    <row r="40" spans="2:9" ht="12.75" customHeight="1">
      <c r="B40" s="25"/>
      <c r="C40" s="44" t="s">
        <v>137</v>
      </c>
      <c r="D40" s="353">
        <v>304880</v>
      </c>
      <c r="E40" s="353"/>
      <c r="F40" s="33"/>
      <c r="I40" s="12">
        <f>D15*27.1/100</f>
        <v>1252269.32</v>
      </c>
    </row>
    <row r="41" spans="2:4" ht="12.75">
      <c r="B41" s="26"/>
      <c r="C41" s="27"/>
      <c r="D41" s="13"/>
    </row>
    <row r="42" spans="2:4" ht="12.75">
      <c r="B42" s="26"/>
      <c r="C42" s="27"/>
      <c r="D42" s="13"/>
    </row>
    <row r="43" spans="2:7" ht="27.75" customHeight="1">
      <c r="B43" s="340" t="s">
        <v>245</v>
      </c>
      <c r="C43" s="340"/>
      <c r="D43" s="340"/>
      <c r="E43" s="340"/>
      <c r="F43" s="340"/>
      <c r="G43" s="340"/>
    </row>
    <row r="44" spans="2:4" ht="12.75">
      <c r="B44" s="24"/>
      <c r="C44" s="24"/>
      <c r="D44" s="24"/>
    </row>
    <row r="45" spans="2:4" ht="40.5" customHeight="1">
      <c r="B45" s="22" t="s">
        <v>60</v>
      </c>
      <c r="C45" s="23" t="s">
        <v>61</v>
      </c>
      <c r="D45" s="23" t="s">
        <v>62</v>
      </c>
    </row>
    <row r="46" spans="2:6" ht="12.75">
      <c r="B46" s="17">
        <v>1</v>
      </c>
      <c r="C46" s="17">
        <v>2</v>
      </c>
      <c r="D46" s="17">
        <v>4</v>
      </c>
      <c r="E46" s="343"/>
      <c r="F46" s="334"/>
    </row>
    <row r="47" spans="2:9" ht="24.75" customHeight="1">
      <c r="B47" s="113">
        <v>1</v>
      </c>
      <c r="C47" s="44" t="s">
        <v>138</v>
      </c>
      <c r="D47" s="45">
        <v>220760</v>
      </c>
      <c r="F47" s="344"/>
      <c r="G47" s="344"/>
      <c r="H47" s="12">
        <v>990610</v>
      </c>
      <c r="I47" s="85">
        <f>H47-D47</f>
        <v>769850</v>
      </c>
    </row>
    <row r="48" spans="2:4" ht="12.75">
      <c r="B48" s="25"/>
      <c r="C48" s="44"/>
      <c r="D48" s="56"/>
    </row>
    <row r="49" spans="2:4" ht="12.75" customHeight="1">
      <c r="B49" s="25"/>
      <c r="C49" s="53" t="s">
        <v>2</v>
      </c>
      <c r="D49" s="55">
        <f>D47</f>
        <v>220760</v>
      </c>
    </row>
    <row r="50" spans="2:4" ht="12.75">
      <c r="B50" s="26"/>
      <c r="C50" s="27"/>
      <c r="D50" s="13"/>
    </row>
    <row r="51" spans="2:4" ht="12.75">
      <c r="B51" s="26"/>
      <c r="C51" s="27"/>
      <c r="D51" s="13"/>
    </row>
    <row r="52" spans="2:4" ht="12.75">
      <c r="B52" s="26"/>
      <c r="C52" s="27"/>
      <c r="D52" s="13"/>
    </row>
    <row r="53" spans="2:4" ht="12.75">
      <c r="B53" s="350" t="s">
        <v>243</v>
      </c>
      <c r="C53" s="350"/>
      <c r="D53" s="87">
        <f>D14+D37+D49+G31</f>
        <v>6237210</v>
      </c>
    </row>
    <row r="54" spans="2:4" ht="12.75">
      <c r="B54" s="26"/>
      <c r="C54" s="27"/>
      <c r="D54" s="13"/>
    </row>
    <row r="55" spans="2:4" ht="12.75">
      <c r="B55" s="12" t="s">
        <v>85</v>
      </c>
      <c r="D55" s="12" t="s">
        <v>1</v>
      </c>
    </row>
    <row r="57" spans="2:4" ht="12.75">
      <c r="B57" s="12" t="s">
        <v>86</v>
      </c>
      <c r="D57" s="12" t="s">
        <v>56</v>
      </c>
    </row>
  </sheetData>
  <sheetProtection/>
  <mergeCells count="28">
    <mergeCell ref="F47:G47"/>
    <mergeCell ref="B53:C53"/>
    <mergeCell ref="D35:E35"/>
    <mergeCell ref="D36:E36"/>
    <mergeCell ref="D37:E37"/>
    <mergeCell ref="D38:E38"/>
    <mergeCell ref="D39:E39"/>
    <mergeCell ref="D40:E40"/>
    <mergeCell ref="B25:D25"/>
    <mergeCell ref="B33:G33"/>
    <mergeCell ref="B43:G43"/>
    <mergeCell ref="E46:F46"/>
    <mergeCell ref="D19:E19"/>
    <mergeCell ref="D20:E20"/>
    <mergeCell ref="D21:E21"/>
    <mergeCell ref="D22:E22"/>
    <mergeCell ref="D15:E15"/>
    <mergeCell ref="D16:E16"/>
    <mergeCell ref="D17:E17"/>
    <mergeCell ref="D18:E18"/>
    <mergeCell ref="B10:D10"/>
    <mergeCell ref="D12:E12"/>
    <mergeCell ref="D13:E13"/>
    <mergeCell ref="D14:E14"/>
    <mergeCell ref="D1:G1"/>
    <mergeCell ref="D2:G2"/>
    <mergeCell ref="B7:D7"/>
    <mergeCell ref="B8:D8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B1:H27"/>
  <sheetViews>
    <sheetView showGridLines="0" zoomScalePageLayoutView="0" workbookViewId="0" topLeftCell="A1">
      <selection activeCell="D1" sqref="D1:G3"/>
    </sheetView>
  </sheetViews>
  <sheetFormatPr defaultColWidth="9.140625" defaultRowHeight="12.75"/>
  <cols>
    <col min="1" max="1" width="0.2890625" style="12" customWidth="1"/>
    <col min="2" max="2" width="4.7109375" style="12" customWidth="1"/>
    <col min="3" max="3" width="46.140625" style="12" customWidth="1"/>
    <col min="4" max="4" width="12.8515625" style="12" customWidth="1"/>
    <col min="5" max="5" width="8.7109375" style="12" customWidth="1"/>
    <col min="6" max="6" width="8.421875" style="12" customWidth="1"/>
    <col min="7" max="7" width="11.140625" style="12" customWidth="1"/>
    <col min="8" max="8" width="10.8515625" style="12" bestFit="1" customWidth="1"/>
    <col min="9" max="9" width="10.140625" style="12" bestFit="1" customWidth="1"/>
    <col min="10" max="16384" width="9.140625" style="12" customWidth="1"/>
  </cols>
  <sheetData>
    <row r="1" spans="4:7" ht="12.75">
      <c r="D1" s="334" t="s">
        <v>128</v>
      </c>
      <c r="E1" s="334"/>
      <c r="F1" s="334"/>
      <c r="G1" s="334"/>
    </row>
    <row r="2" spans="4:7" ht="39" customHeight="1">
      <c r="D2" s="333" t="s">
        <v>236</v>
      </c>
      <c r="E2" s="333"/>
      <c r="F2" s="333"/>
      <c r="G2" s="333"/>
    </row>
    <row r="3" ht="27" customHeight="1">
      <c r="E3" s="12" t="s">
        <v>237</v>
      </c>
    </row>
    <row r="6" ht="5.25" customHeight="1"/>
    <row r="7" spans="2:4" ht="12.75">
      <c r="B7" s="334" t="s">
        <v>58</v>
      </c>
      <c r="C7" s="334"/>
      <c r="D7" s="334"/>
    </row>
    <row r="8" spans="2:4" ht="12.75">
      <c r="B8" s="334" t="s">
        <v>196</v>
      </c>
      <c r="C8" s="334"/>
      <c r="D8" s="334"/>
    </row>
    <row r="9" ht="6.75" customHeight="1"/>
    <row r="10" spans="2:6" ht="12.75" customHeight="1" hidden="1">
      <c r="B10" s="25"/>
      <c r="C10" s="44" t="s">
        <v>72</v>
      </c>
      <c r="D10" s="338">
        <v>24905</v>
      </c>
      <c r="E10" s="338"/>
      <c r="F10" s="33"/>
    </row>
    <row r="11" spans="2:5" ht="12.75" customHeight="1" hidden="1">
      <c r="B11" s="25"/>
      <c r="C11" s="44" t="s">
        <v>73</v>
      </c>
      <c r="D11" s="338">
        <v>217722</v>
      </c>
      <c r="E11" s="338"/>
    </row>
    <row r="12" spans="2:4" ht="12.75">
      <c r="B12" s="26"/>
      <c r="C12" s="27"/>
      <c r="D12" s="13"/>
    </row>
    <row r="13" spans="2:4" ht="12.75">
      <c r="B13" s="26"/>
      <c r="C13" s="27"/>
      <c r="D13" s="13"/>
    </row>
    <row r="14" spans="2:6" ht="12.75">
      <c r="B14" s="341" t="s">
        <v>151</v>
      </c>
      <c r="C14" s="341"/>
      <c r="D14" s="341"/>
      <c r="E14" s="341"/>
      <c r="F14" s="341"/>
    </row>
    <row r="16" spans="2:7" ht="49.5" customHeight="1">
      <c r="B16" s="22" t="s">
        <v>60</v>
      </c>
      <c r="C16" s="52" t="s">
        <v>61</v>
      </c>
      <c r="D16" s="23" t="s">
        <v>79</v>
      </c>
      <c r="E16" s="23" t="s">
        <v>80</v>
      </c>
      <c r="F16" s="23" t="s">
        <v>153</v>
      </c>
      <c r="G16" s="64"/>
    </row>
    <row r="17" spans="2:6" ht="13.5" customHeight="1">
      <c r="B17" s="17">
        <v>1</v>
      </c>
      <c r="C17" s="47">
        <v>2</v>
      </c>
      <c r="D17" s="17">
        <v>3</v>
      </c>
      <c r="E17" s="49">
        <v>4</v>
      </c>
      <c r="F17" s="49">
        <v>5</v>
      </c>
    </row>
    <row r="18" spans="2:8" ht="93.75" customHeight="1">
      <c r="B18" s="34">
        <v>1</v>
      </c>
      <c r="C18" s="54" t="s">
        <v>152</v>
      </c>
      <c r="D18" s="49"/>
      <c r="E18" s="49"/>
      <c r="F18" s="49">
        <v>22100</v>
      </c>
      <c r="H18" s="12" t="e">
        <f>F18-#REF!-#REF!</f>
        <v>#REF!</v>
      </c>
    </row>
    <row r="19" spans="2:6" ht="12.75">
      <c r="B19" s="34">
        <v>2</v>
      </c>
      <c r="C19" s="54"/>
      <c r="D19" s="49"/>
      <c r="E19" s="49"/>
      <c r="F19" s="49"/>
    </row>
    <row r="20" spans="2:6" ht="12.75">
      <c r="B20" s="35"/>
      <c r="C20" s="60" t="s">
        <v>2</v>
      </c>
      <c r="D20" s="50"/>
      <c r="E20" s="49"/>
      <c r="F20" s="50">
        <f>F18</f>
        <v>22100</v>
      </c>
    </row>
    <row r="22" spans="2:4" ht="12.75">
      <c r="B22" s="26"/>
      <c r="C22" s="27"/>
      <c r="D22" s="13"/>
    </row>
    <row r="23" spans="2:4" ht="12.75">
      <c r="B23" s="345" t="s">
        <v>235</v>
      </c>
      <c r="C23" s="345"/>
      <c r="D23" s="87">
        <f>F20</f>
        <v>22100</v>
      </c>
    </row>
    <row r="24" spans="2:4" ht="12.75">
      <c r="B24" s="26"/>
      <c r="C24" s="27"/>
      <c r="D24" s="13"/>
    </row>
    <row r="25" spans="2:4" ht="12.75">
      <c r="B25" s="12" t="s">
        <v>85</v>
      </c>
      <c r="D25" s="12" t="s">
        <v>1</v>
      </c>
    </row>
    <row r="27" spans="2:4" ht="12.75">
      <c r="B27" s="12" t="s">
        <v>86</v>
      </c>
      <c r="D27" s="12" t="s">
        <v>56</v>
      </c>
    </row>
  </sheetData>
  <sheetProtection/>
  <mergeCells count="8">
    <mergeCell ref="D1:G1"/>
    <mergeCell ref="D2:G2"/>
    <mergeCell ref="B7:D7"/>
    <mergeCell ref="B8:D8"/>
    <mergeCell ref="B23:C23"/>
    <mergeCell ref="B14:F14"/>
    <mergeCell ref="D10:E10"/>
    <mergeCell ref="D11:E11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д.с</cp:lastModifiedBy>
  <cp:lastPrinted>2019-01-14T09:20:56Z</cp:lastPrinted>
  <dcterms:created xsi:type="dcterms:W3CDTF">2008-04-18T13:45:20Z</dcterms:created>
  <dcterms:modified xsi:type="dcterms:W3CDTF">2019-01-16T04:52:30Z</dcterms:modified>
  <cp:category/>
  <cp:version/>
  <cp:contentType/>
  <cp:contentStatus/>
</cp:coreProperties>
</file>